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4"/>
  </bookViews>
  <sheets>
    <sheet name="ФЭО" sheetId="1" r:id="rId1"/>
    <sheet name="РВ" sheetId="2" r:id="rId2"/>
    <sheet name="СМЕТА" sheetId="3" r:id="rId3"/>
    <sheet name="ВЗНОСЫ" sheetId="4" r:id="rId4"/>
    <sheet name="ЭЛЕКТРО" sheetId="5" r:id="rId5"/>
  </sheets>
  <calcPr calcId="145621"/>
</workbook>
</file>

<file path=xl/calcChain.xml><?xml version="1.0" encoding="utf-8"?>
<calcChain xmlns="http://schemas.openxmlformats.org/spreadsheetml/2006/main">
  <c r="DR46" i="5" l="1"/>
  <c r="DH46" i="5"/>
  <c r="CN46" i="5"/>
  <c r="CD46" i="5"/>
  <c r="BT46" i="5"/>
  <c r="BJ46" i="5"/>
  <c r="AZ46" i="5"/>
  <c r="AP46" i="5"/>
  <c r="AF46" i="5"/>
  <c r="V46" i="5"/>
  <c r="L46" i="5"/>
  <c r="DE45" i="5"/>
  <c r="DF45" i="5" s="1"/>
  <c r="DB45" i="5"/>
  <c r="DA45" i="5"/>
  <c r="CU45" i="5"/>
  <c r="CV45" i="5" s="1"/>
  <c r="CQ45" i="5"/>
  <c r="CR45" i="5" s="1"/>
  <c r="CK45" i="5"/>
  <c r="CL45" i="5" s="1"/>
  <c r="CG45" i="5"/>
  <c r="CH45" i="5" s="1"/>
  <c r="CA45" i="5"/>
  <c r="CB45" i="5" s="1"/>
  <c r="BX45" i="5"/>
  <c r="BW45" i="5"/>
  <c r="BQ45" i="5"/>
  <c r="BR45" i="5" s="1"/>
  <c r="BM45" i="5"/>
  <c r="BN45" i="5" s="1"/>
  <c r="BS45" i="5" s="1"/>
  <c r="BH45" i="5"/>
  <c r="BG45" i="5"/>
  <c r="BC45" i="5"/>
  <c r="BD45" i="5" s="1"/>
  <c r="BI45" i="5" s="1"/>
  <c r="AW45" i="5"/>
  <c r="AX45" i="5" s="1"/>
  <c r="AS45" i="5"/>
  <c r="AT45" i="5" s="1"/>
  <c r="AM45" i="5"/>
  <c r="AN45" i="5" s="1"/>
  <c r="AO45" i="5" s="1"/>
  <c r="AJ45" i="5"/>
  <c r="AI45" i="5"/>
  <c r="AC45" i="5"/>
  <c r="AD45" i="5" s="1"/>
  <c r="Y45" i="5"/>
  <c r="Z45" i="5" s="1"/>
  <c r="AE45" i="5" s="1"/>
  <c r="T45" i="5"/>
  <c r="S45" i="5"/>
  <c r="O45" i="5"/>
  <c r="P45" i="5" s="1"/>
  <c r="U45" i="5" s="1"/>
  <c r="I45" i="5"/>
  <c r="J45" i="5" s="1"/>
  <c r="E45" i="5"/>
  <c r="F45" i="5" s="1"/>
  <c r="DE44" i="5"/>
  <c r="DF44" i="5" s="1"/>
  <c r="DA44" i="5"/>
  <c r="DB44" i="5" s="1"/>
  <c r="DG44" i="5" s="1"/>
  <c r="CV44" i="5"/>
  <c r="CW44" i="5" s="1"/>
  <c r="CU44" i="5"/>
  <c r="CQ44" i="5"/>
  <c r="CR44" i="5" s="1"/>
  <c r="CK44" i="5"/>
  <c r="CL44" i="5" s="1"/>
  <c r="CG44" i="5"/>
  <c r="CH44" i="5" s="1"/>
  <c r="CA44" i="5"/>
  <c r="CB44" i="5" s="1"/>
  <c r="BX44" i="5"/>
  <c r="CC44" i="5" s="1"/>
  <c r="BW44" i="5"/>
  <c r="BQ44" i="5"/>
  <c r="BR44" i="5" s="1"/>
  <c r="BM44" i="5"/>
  <c r="BN44" i="5" s="1"/>
  <c r="BS44" i="5" s="1"/>
  <c r="BH44" i="5"/>
  <c r="BG44" i="5"/>
  <c r="BC44" i="5"/>
  <c r="BD44" i="5" s="1"/>
  <c r="BI44" i="5" s="1"/>
  <c r="AW44" i="5"/>
  <c r="AX44" i="5" s="1"/>
  <c r="AS44" i="5"/>
  <c r="AT44" i="5" s="1"/>
  <c r="AM44" i="5"/>
  <c r="AN44" i="5" s="1"/>
  <c r="AJ44" i="5"/>
  <c r="AI44" i="5"/>
  <c r="AC44" i="5"/>
  <c r="AD44" i="5" s="1"/>
  <c r="Y44" i="5"/>
  <c r="Z44" i="5" s="1"/>
  <c r="AE44" i="5" s="1"/>
  <c r="T44" i="5"/>
  <c r="S44" i="5"/>
  <c r="O44" i="5"/>
  <c r="P44" i="5" s="1"/>
  <c r="I44" i="5"/>
  <c r="J44" i="5" s="1"/>
  <c r="E44" i="5"/>
  <c r="F44" i="5" s="1"/>
  <c r="DQ43" i="5"/>
  <c r="DE43" i="5"/>
  <c r="DF43" i="5" s="1"/>
  <c r="DA43" i="5"/>
  <c r="DB43" i="5" s="1"/>
  <c r="CV43" i="5"/>
  <c r="CU43" i="5"/>
  <c r="CR43" i="5"/>
  <c r="CQ43" i="5"/>
  <c r="CK43" i="5"/>
  <c r="CL43" i="5" s="1"/>
  <c r="CG43" i="5"/>
  <c r="CH43" i="5" s="1"/>
  <c r="CB43" i="5"/>
  <c r="CA43" i="5"/>
  <c r="BX43" i="5"/>
  <c r="BW43" i="5"/>
  <c r="BQ43" i="5"/>
  <c r="BR43" i="5" s="1"/>
  <c r="BM43" i="5"/>
  <c r="BN43" i="5" s="1"/>
  <c r="BH43" i="5"/>
  <c r="BG43" i="5"/>
  <c r="BD43" i="5"/>
  <c r="BI43" i="5" s="1"/>
  <c r="BC43" i="5"/>
  <c r="AW43" i="5"/>
  <c r="AX43" i="5" s="1"/>
  <c r="AY43" i="5" s="1"/>
  <c r="AS43" i="5"/>
  <c r="AT43" i="5" s="1"/>
  <c r="AN43" i="5"/>
  <c r="AO43" i="5" s="1"/>
  <c r="AM43" i="5"/>
  <c r="AJ43" i="5"/>
  <c r="AI43" i="5"/>
  <c r="AC43" i="5"/>
  <c r="AD43" i="5" s="1"/>
  <c r="Y43" i="5"/>
  <c r="Z43" i="5" s="1"/>
  <c r="T43" i="5"/>
  <c r="S43" i="5"/>
  <c r="P43" i="5"/>
  <c r="U43" i="5" s="1"/>
  <c r="O43" i="5"/>
  <c r="I43" i="5"/>
  <c r="J43" i="5" s="1"/>
  <c r="E43" i="5"/>
  <c r="F43" i="5" s="1"/>
  <c r="DE42" i="5"/>
  <c r="DF42" i="5" s="1"/>
  <c r="DA42" i="5"/>
  <c r="DB42" i="5" s="1"/>
  <c r="CU42" i="5"/>
  <c r="CV42" i="5" s="1"/>
  <c r="CW42" i="5" s="1"/>
  <c r="CQ42" i="5"/>
  <c r="CR42" i="5" s="1"/>
  <c r="CK42" i="5"/>
  <c r="CL42" i="5" s="1"/>
  <c r="CG42" i="5"/>
  <c r="CH42" i="5" s="1"/>
  <c r="CM42" i="5" s="1"/>
  <c r="CA42" i="5"/>
  <c r="CB42" i="5" s="1"/>
  <c r="BW42" i="5"/>
  <c r="BX42" i="5" s="1"/>
  <c r="BQ42" i="5"/>
  <c r="BR42" i="5" s="1"/>
  <c r="BM42" i="5"/>
  <c r="BN42" i="5" s="1"/>
  <c r="BG42" i="5"/>
  <c r="BH42" i="5" s="1"/>
  <c r="BC42" i="5"/>
  <c r="BD42" i="5" s="1"/>
  <c r="AW42" i="5"/>
  <c r="AX42" i="5" s="1"/>
  <c r="AS42" i="5"/>
  <c r="AT42" i="5" s="1"/>
  <c r="AM42" i="5"/>
  <c r="AN42" i="5" s="1"/>
  <c r="AO42" i="5" s="1"/>
  <c r="AI42" i="5"/>
  <c r="AJ42" i="5" s="1"/>
  <c r="AC42" i="5"/>
  <c r="AD42" i="5" s="1"/>
  <c r="Y42" i="5"/>
  <c r="Z42" i="5" s="1"/>
  <c r="S42" i="5"/>
  <c r="T42" i="5" s="1"/>
  <c r="O42" i="5"/>
  <c r="P42" i="5" s="1"/>
  <c r="I42" i="5"/>
  <c r="J42" i="5" s="1"/>
  <c r="E42" i="5"/>
  <c r="F42" i="5" s="1"/>
  <c r="DE41" i="5"/>
  <c r="DF41" i="5" s="1"/>
  <c r="DA41" i="5"/>
  <c r="DB41" i="5" s="1"/>
  <c r="CV41" i="5"/>
  <c r="CW41" i="5" s="1"/>
  <c r="CU41" i="5"/>
  <c r="CR41" i="5"/>
  <c r="CQ41" i="5"/>
  <c r="CK41" i="5"/>
  <c r="CL41" i="5" s="1"/>
  <c r="CG41" i="5"/>
  <c r="CH41" i="5" s="1"/>
  <c r="CB41" i="5"/>
  <c r="CA41" i="5"/>
  <c r="BX41" i="5"/>
  <c r="CC41" i="5" s="1"/>
  <c r="BW41" i="5"/>
  <c r="BQ41" i="5"/>
  <c r="BR41" i="5" s="1"/>
  <c r="BM41" i="5"/>
  <c r="BN41" i="5" s="1"/>
  <c r="BH41" i="5"/>
  <c r="BG41" i="5"/>
  <c r="BD41" i="5"/>
  <c r="BC41" i="5"/>
  <c r="AY41" i="5"/>
  <c r="AW41" i="5"/>
  <c r="AX41" i="5" s="1"/>
  <c r="AS41" i="5"/>
  <c r="AT41" i="5" s="1"/>
  <c r="AM41" i="5"/>
  <c r="AN41" i="5" s="1"/>
  <c r="AO41" i="5" s="1"/>
  <c r="AI41" i="5"/>
  <c r="AJ41" i="5" s="1"/>
  <c r="AC41" i="5"/>
  <c r="AD41" i="5" s="1"/>
  <c r="AE41" i="5" s="1"/>
  <c r="Y41" i="5"/>
  <c r="Z41" i="5" s="1"/>
  <c r="S41" i="5"/>
  <c r="T41" i="5" s="1"/>
  <c r="O41" i="5"/>
  <c r="P41" i="5" s="1"/>
  <c r="I41" i="5"/>
  <c r="J41" i="5" s="1"/>
  <c r="E41" i="5"/>
  <c r="F41" i="5" s="1"/>
  <c r="K41" i="5" s="1"/>
  <c r="DE40" i="5"/>
  <c r="DF40" i="5" s="1"/>
  <c r="DA40" i="5"/>
  <c r="DB40" i="5" s="1"/>
  <c r="CV40" i="5"/>
  <c r="CU40" i="5"/>
  <c r="CR40" i="5"/>
  <c r="CQ40" i="5"/>
  <c r="CK40" i="5"/>
  <c r="CL40" i="5" s="1"/>
  <c r="CG40" i="5"/>
  <c r="CH40" i="5" s="1"/>
  <c r="CB40" i="5"/>
  <c r="CA40" i="5"/>
  <c r="BX40" i="5"/>
  <c r="BW40" i="5"/>
  <c r="BQ40" i="5"/>
  <c r="BR40" i="5" s="1"/>
  <c r="BM40" i="5"/>
  <c r="BN40" i="5" s="1"/>
  <c r="BS40" i="5" s="1"/>
  <c r="BG40" i="5"/>
  <c r="BH40" i="5" s="1"/>
  <c r="BD40" i="5"/>
  <c r="BC40" i="5"/>
  <c r="AW40" i="5"/>
  <c r="AX40" i="5" s="1"/>
  <c r="AS40" i="5"/>
  <c r="AT40" i="5" s="1"/>
  <c r="AN40" i="5"/>
  <c r="AM40" i="5"/>
  <c r="AI40" i="5"/>
  <c r="AJ40" i="5" s="1"/>
  <c r="AC40" i="5"/>
  <c r="AD40" i="5" s="1"/>
  <c r="Y40" i="5"/>
  <c r="Z40" i="5" s="1"/>
  <c r="AE40" i="5" s="1"/>
  <c r="S40" i="5"/>
  <c r="T40" i="5" s="1"/>
  <c r="P40" i="5"/>
  <c r="U40" i="5" s="1"/>
  <c r="O40" i="5"/>
  <c r="I40" i="5"/>
  <c r="J40" i="5" s="1"/>
  <c r="E40" i="5"/>
  <c r="F40" i="5" s="1"/>
  <c r="K40" i="5" s="1"/>
  <c r="DE39" i="5"/>
  <c r="DF39" i="5" s="1"/>
  <c r="DA39" i="5"/>
  <c r="DB39" i="5" s="1"/>
  <c r="DG39" i="5" s="1"/>
  <c r="CU39" i="5"/>
  <c r="CV39" i="5" s="1"/>
  <c r="CR39" i="5"/>
  <c r="CQ39" i="5"/>
  <c r="CK39" i="5"/>
  <c r="CL39" i="5" s="1"/>
  <c r="CG39" i="5"/>
  <c r="CH39" i="5" s="1"/>
  <c r="CB39" i="5"/>
  <c r="CA39" i="5"/>
  <c r="BX39" i="5"/>
  <c r="BW39" i="5"/>
  <c r="BQ39" i="5"/>
  <c r="BR39" i="5" s="1"/>
  <c r="BS39" i="5" s="1"/>
  <c r="BM39" i="5"/>
  <c r="BN39" i="5" s="1"/>
  <c r="BH39" i="5"/>
  <c r="BG39" i="5"/>
  <c r="BD39" i="5"/>
  <c r="BC39" i="5"/>
  <c r="AW39" i="5"/>
  <c r="AX39" i="5" s="1"/>
  <c r="AY39" i="5" s="1"/>
  <c r="AS39" i="5"/>
  <c r="AT39" i="5" s="1"/>
  <c r="AN39" i="5"/>
  <c r="AM39" i="5"/>
  <c r="AJ39" i="5"/>
  <c r="AI39" i="5"/>
  <c r="AC39" i="5"/>
  <c r="AD39" i="5" s="1"/>
  <c r="Y39" i="5"/>
  <c r="Z39" i="5" s="1"/>
  <c r="T39" i="5"/>
  <c r="S39" i="5"/>
  <c r="P39" i="5"/>
  <c r="O39" i="5"/>
  <c r="K39" i="5"/>
  <c r="I39" i="5"/>
  <c r="J39" i="5" s="1"/>
  <c r="E39" i="5"/>
  <c r="F39" i="5" s="1"/>
  <c r="DE38" i="5"/>
  <c r="DF38" i="5" s="1"/>
  <c r="DA38" i="5"/>
  <c r="DB38" i="5" s="1"/>
  <c r="CV38" i="5"/>
  <c r="CW38" i="5" s="1"/>
  <c r="CU38" i="5"/>
  <c r="CR38" i="5"/>
  <c r="CQ38" i="5"/>
  <c r="CK38" i="5"/>
  <c r="CL38" i="5" s="1"/>
  <c r="CM38" i="5" s="1"/>
  <c r="CG38" i="5"/>
  <c r="CH38" i="5" s="1"/>
  <c r="CB38" i="5"/>
  <c r="CA38" i="5"/>
  <c r="BX38" i="5"/>
  <c r="CC38" i="5" s="1"/>
  <c r="BW38" i="5"/>
  <c r="BQ38" i="5"/>
  <c r="BR38" i="5" s="1"/>
  <c r="BM38" i="5"/>
  <c r="BN38" i="5" s="1"/>
  <c r="BH38" i="5"/>
  <c r="BG38" i="5"/>
  <c r="BD38" i="5"/>
  <c r="BC38" i="5"/>
  <c r="AW38" i="5"/>
  <c r="AX38" i="5" s="1"/>
  <c r="AY38" i="5" s="1"/>
  <c r="AS38" i="5"/>
  <c r="AT38" i="5" s="1"/>
  <c r="AM38" i="5"/>
  <c r="AN38" i="5" s="1"/>
  <c r="AO38" i="5" s="1"/>
  <c r="AJ38" i="5"/>
  <c r="AI38" i="5"/>
  <c r="AC38" i="5"/>
  <c r="AD38" i="5" s="1"/>
  <c r="AE38" i="5" s="1"/>
  <c r="Y38" i="5"/>
  <c r="Z38" i="5" s="1"/>
  <c r="S38" i="5"/>
  <c r="T38" i="5" s="1"/>
  <c r="O38" i="5"/>
  <c r="P38" i="5" s="1"/>
  <c r="I38" i="5"/>
  <c r="J38" i="5" s="1"/>
  <c r="E38" i="5"/>
  <c r="F38" i="5" s="1"/>
  <c r="DF37" i="5"/>
  <c r="DE37" i="5"/>
  <c r="DA37" i="5"/>
  <c r="DB37" i="5" s="1"/>
  <c r="DG37" i="5" s="1"/>
  <c r="CU37" i="5"/>
  <c r="CV37" i="5" s="1"/>
  <c r="CR37" i="5"/>
  <c r="CQ37" i="5"/>
  <c r="CK37" i="5"/>
  <c r="CL37" i="5" s="1"/>
  <c r="CG37" i="5"/>
  <c r="CH37" i="5" s="1"/>
  <c r="CA37" i="5"/>
  <c r="CB37" i="5" s="1"/>
  <c r="BW37" i="5"/>
  <c r="BX37" i="5" s="1"/>
  <c r="CC37" i="5" s="1"/>
  <c r="BR37" i="5"/>
  <c r="BQ37" i="5"/>
  <c r="BM37" i="5"/>
  <c r="BN37" i="5" s="1"/>
  <c r="BG37" i="5"/>
  <c r="BH37" i="5" s="1"/>
  <c r="BD37" i="5"/>
  <c r="BC37" i="5"/>
  <c r="AW37" i="5"/>
  <c r="AX37" i="5" s="1"/>
  <c r="AT37" i="5"/>
  <c r="AS37" i="5"/>
  <c r="AM37" i="5"/>
  <c r="AN37" i="5" s="1"/>
  <c r="AI37" i="5"/>
  <c r="AJ37" i="5" s="1"/>
  <c r="AD37" i="5"/>
  <c r="AC37" i="5"/>
  <c r="Y37" i="5"/>
  <c r="Z37" i="5" s="1"/>
  <c r="AE37" i="5" s="1"/>
  <c r="S37" i="5"/>
  <c r="T37" i="5" s="1"/>
  <c r="P37" i="5"/>
  <c r="O37" i="5"/>
  <c r="I37" i="5"/>
  <c r="J37" i="5" s="1"/>
  <c r="E37" i="5"/>
  <c r="F37" i="5" s="1"/>
  <c r="DE36" i="5"/>
  <c r="DF36" i="5" s="1"/>
  <c r="DA36" i="5"/>
  <c r="DB36" i="5" s="1"/>
  <c r="CU36" i="5"/>
  <c r="CV36" i="5" s="1"/>
  <c r="CQ36" i="5"/>
  <c r="CR36" i="5" s="1"/>
  <c r="CK36" i="5"/>
  <c r="CL36" i="5" s="1"/>
  <c r="CH36" i="5"/>
  <c r="CG36" i="5"/>
  <c r="CB36" i="5"/>
  <c r="CA36" i="5"/>
  <c r="BW36" i="5"/>
  <c r="BX36" i="5" s="1"/>
  <c r="BQ36" i="5"/>
  <c r="BR36" i="5" s="1"/>
  <c r="BM36" i="5"/>
  <c r="BN36" i="5" s="1"/>
  <c r="BG36" i="5"/>
  <c r="BH36" i="5" s="1"/>
  <c r="BC36" i="5"/>
  <c r="BD36" i="5" s="1"/>
  <c r="AW36" i="5"/>
  <c r="AX36" i="5" s="1"/>
  <c r="AT36" i="5"/>
  <c r="AS36" i="5"/>
  <c r="AN36" i="5"/>
  <c r="AM36" i="5"/>
  <c r="AI36" i="5"/>
  <c r="AJ36" i="5" s="1"/>
  <c r="AC36" i="5"/>
  <c r="AD36" i="5" s="1"/>
  <c r="Y36" i="5"/>
  <c r="Z36" i="5" s="1"/>
  <c r="S36" i="5"/>
  <c r="T36" i="5" s="1"/>
  <c r="O36" i="5"/>
  <c r="P36" i="5" s="1"/>
  <c r="U36" i="5" s="1"/>
  <c r="I36" i="5"/>
  <c r="J36" i="5" s="1"/>
  <c r="F36" i="5"/>
  <c r="E36" i="5"/>
  <c r="DF35" i="5"/>
  <c r="DE35" i="5"/>
  <c r="DA35" i="5"/>
  <c r="DB35" i="5" s="1"/>
  <c r="DG35" i="5" s="1"/>
  <c r="CU35" i="5"/>
  <c r="CV35" i="5" s="1"/>
  <c r="CR35" i="5"/>
  <c r="CQ35" i="5"/>
  <c r="CK35" i="5"/>
  <c r="CL35" i="5" s="1"/>
  <c r="CG35" i="5"/>
  <c r="CH35" i="5" s="1"/>
  <c r="CB35" i="5"/>
  <c r="CA35" i="5"/>
  <c r="BW35" i="5"/>
  <c r="BX35" i="5" s="1"/>
  <c r="BQ35" i="5"/>
  <c r="BR35" i="5" s="1"/>
  <c r="BM35" i="5"/>
  <c r="BN35" i="5" s="1"/>
  <c r="BG35" i="5"/>
  <c r="BH35" i="5" s="1"/>
  <c r="BC35" i="5"/>
  <c r="BD35" i="5" s="1"/>
  <c r="AW35" i="5"/>
  <c r="AX35" i="5" s="1"/>
  <c r="AS35" i="5"/>
  <c r="AT35" i="5" s="1"/>
  <c r="AM35" i="5"/>
  <c r="AN35" i="5" s="1"/>
  <c r="AI35" i="5"/>
  <c r="AJ35" i="5" s="1"/>
  <c r="AD35" i="5"/>
  <c r="AC35" i="5"/>
  <c r="Y35" i="5"/>
  <c r="Z35" i="5" s="1"/>
  <c r="S35" i="5"/>
  <c r="T35" i="5" s="1"/>
  <c r="P35" i="5"/>
  <c r="O35" i="5"/>
  <c r="I35" i="5"/>
  <c r="J35" i="5" s="1"/>
  <c r="E35" i="5"/>
  <c r="F35" i="5" s="1"/>
  <c r="DE34" i="5"/>
  <c r="DF34" i="5" s="1"/>
  <c r="DA34" i="5"/>
  <c r="DB34" i="5" s="1"/>
  <c r="CU34" i="5"/>
  <c r="CV34" i="5" s="1"/>
  <c r="CW34" i="5" s="1"/>
  <c r="CQ34" i="5"/>
  <c r="CR34" i="5" s="1"/>
  <c r="CK34" i="5"/>
  <c r="CL34" i="5" s="1"/>
  <c r="CH34" i="5"/>
  <c r="CG34" i="5"/>
  <c r="CA34" i="5"/>
  <c r="CB34" i="5" s="1"/>
  <c r="BW34" i="5"/>
  <c r="BX34" i="5" s="1"/>
  <c r="BQ34" i="5"/>
  <c r="BR34" i="5" s="1"/>
  <c r="BM34" i="5"/>
  <c r="BN34" i="5" s="1"/>
  <c r="BG34" i="5"/>
  <c r="BH34" i="5" s="1"/>
  <c r="BC34" i="5"/>
  <c r="BD34" i="5" s="1"/>
  <c r="AW34" i="5"/>
  <c r="AX34" i="5" s="1"/>
  <c r="AY34" i="5" s="1"/>
  <c r="AT34" i="5"/>
  <c r="AS34" i="5"/>
  <c r="AM34" i="5"/>
  <c r="AN34" i="5" s="1"/>
  <c r="AO34" i="5" s="1"/>
  <c r="AI34" i="5"/>
  <c r="AJ34" i="5" s="1"/>
  <c r="AC34" i="5"/>
  <c r="AD34" i="5" s="1"/>
  <c r="Y34" i="5"/>
  <c r="Z34" i="5" s="1"/>
  <c r="S34" i="5"/>
  <c r="T34" i="5" s="1"/>
  <c r="O34" i="5"/>
  <c r="P34" i="5" s="1"/>
  <c r="I34" i="5"/>
  <c r="J34" i="5" s="1"/>
  <c r="F34" i="5"/>
  <c r="E34" i="5"/>
  <c r="DQ33" i="5"/>
  <c r="DF33" i="5"/>
  <c r="DE33" i="5"/>
  <c r="DA33" i="5"/>
  <c r="DB33" i="5" s="1"/>
  <c r="DG33" i="5" s="1"/>
  <c r="CU33" i="5"/>
  <c r="CV33" i="5" s="1"/>
  <c r="CW33" i="5" s="1"/>
  <c r="CR33" i="5"/>
  <c r="CQ33" i="5"/>
  <c r="CK33" i="5"/>
  <c r="CL33" i="5" s="1"/>
  <c r="CH33" i="5"/>
  <c r="CM33" i="5" s="1"/>
  <c r="CG33" i="5"/>
  <c r="CA33" i="5"/>
  <c r="CB33" i="5" s="1"/>
  <c r="BW33" i="5"/>
  <c r="BX33" i="5" s="1"/>
  <c r="BR33" i="5"/>
  <c r="BQ33" i="5"/>
  <c r="BM33" i="5"/>
  <c r="BN33" i="5" s="1"/>
  <c r="BG33" i="5"/>
  <c r="BH33" i="5" s="1"/>
  <c r="BD33" i="5"/>
  <c r="BC33" i="5"/>
  <c r="AW33" i="5"/>
  <c r="AX33" i="5" s="1"/>
  <c r="AS33" i="5"/>
  <c r="AT33" i="5" s="1"/>
  <c r="AM33" i="5"/>
  <c r="AN33" i="5" s="1"/>
  <c r="AI33" i="5"/>
  <c r="AJ33" i="5" s="1"/>
  <c r="AD33" i="5"/>
  <c r="AC33" i="5"/>
  <c r="Y33" i="5"/>
  <c r="Z33" i="5" s="1"/>
  <c r="S33" i="5"/>
  <c r="T33" i="5" s="1"/>
  <c r="P33" i="5"/>
  <c r="O33" i="5"/>
  <c r="I33" i="5"/>
  <c r="J33" i="5" s="1"/>
  <c r="F33" i="5"/>
  <c r="K33" i="5" s="1"/>
  <c r="E33" i="5"/>
  <c r="DF32" i="5"/>
  <c r="DE32" i="5"/>
  <c r="DA32" i="5"/>
  <c r="DB32" i="5" s="1"/>
  <c r="CU32" i="5"/>
  <c r="CV32" i="5" s="1"/>
  <c r="CR32" i="5"/>
  <c r="CQ32" i="5"/>
  <c r="CK32" i="5"/>
  <c r="CL32" i="5" s="1"/>
  <c r="CG32" i="5"/>
  <c r="CH32" i="5" s="1"/>
  <c r="CB32" i="5"/>
  <c r="CA32" i="5"/>
  <c r="BW32" i="5"/>
  <c r="BX32" i="5" s="1"/>
  <c r="BR32" i="5"/>
  <c r="BQ32" i="5"/>
  <c r="BM32" i="5"/>
  <c r="BN32" i="5" s="1"/>
  <c r="BG32" i="5"/>
  <c r="BH32" i="5" s="1"/>
  <c r="BD32" i="5"/>
  <c r="BI32" i="5" s="1"/>
  <c r="BC32" i="5"/>
  <c r="AW32" i="5"/>
  <c r="AX32" i="5" s="1"/>
  <c r="AS32" i="5"/>
  <c r="AT32" i="5" s="1"/>
  <c r="AN32" i="5"/>
  <c r="AM32" i="5"/>
  <c r="AI32" i="5"/>
  <c r="AJ32" i="5" s="1"/>
  <c r="AD32" i="5"/>
  <c r="AC32" i="5"/>
  <c r="Y32" i="5"/>
  <c r="Z32" i="5" s="1"/>
  <c r="S32" i="5"/>
  <c r="T32" i="5" s="1"/>
  <c r="P32" i="5"/>
  <c r="U32" i="5" s="1"/>
  <c r="O32" i="5"/>
  <c r="I32" i="5"/>
  <c r="J32" i="5" s="1"/>
  <c r="E32" i="5"/>
  <c r="F32" i="5" s="1"/>
  <c r="DE31" i="5"/>
  <c r="DF31" i="5" s="1"/>
  <c r="DA31" i="5"/>
  <c r="DB31" i="5" s="1"/>
  <c r="CU31" i="5"/>
  <c r="CV31" i="5" s="1"/>
  <c r="CQ31" i="5"/>
  <c r="CR31" i="5" s="1"/>
  <c r="CK31" i="5"/>
  <c r="CL31" i="5" s="1"/>
  <c r="CG31" i="5"/>
  <c r="CH31" i="5" s="1"/>
  <c r="CA31" i="5"/>
  <c r="CB31" i="5" s="1"/>
  <c r="BW31" i="5"/>
  <c r="BX31" i="5" s="1"/>
  <c r="BQ31" i="5"/>
  <c r="BR31" i="5" s="1"/>
  <c r="BS31" i="5" s="1"/>
  <c r="BM31" i="5"/>
  <c r="BN31" i="5" s="1"/>
  <c r="BG31" i="5"/>
  <c r="BH31" i="5" s="1"/>
  <c r="BC31" i="5"/>
  <c r="BD31" i="5" s="1"/>
  <c r="AW31" i="5"/>
  <c r="AX31" i="5" s="1"/>
  <c r="AT31" i="5"/>
  <c r="AS31" i="5"/>
  <c r="AN31" i="5"/>
  <c r="AM31" i="5"/>
  <c r="AI31" i="5"/>
  <c r="AJ31" i="5" s="1"/>
  <c r="AC31" i="5"/>
  <c r="AD31" i="5" s="1"/>
  <c r="Y31" i="5"/>
  <c r="Z31" i="5" s="1"/>
  <c r="S31" i="5"/>
  <c r="T31" i="5" s="1"/>
  <c r="O31" i="5"/>
  <c r="P31" i="5" s="1"/>
  <c r="I31" i="5"/>
  <c r="J31" i="5" s="1"/>
  <c r="E31" i="5"/>
  <c r="F31" i="5" s="1"/>
  <c r="DE30" i="5"/>
  <c r="DF30" i="5" s="1"/>
  <c r="DA30" i="5"/>
  <c r="DB30" i="5" s="1"/>
  <c r="CU30" i="5"/>
  <c r="CV30" i="5" s="1"/>
  <c r="CQ30" i="5"/>
  <c r="CR30" i="5" s="1"/>
  <c r="CK30" i="5"/>
  <c r="CL30" i="5" s="1"/>
  <c r="CG30" i="5"/>
  <c r="CH30" i="5" s="1"/>
  <c r="CA30" i="5"/>
  <c r="CB30" i="5" s="1"/>
  <c r="BW30" i="5"/>
  <c r="BX30" i="5" s="1"/>
  <c r="CC30" i="5" s="1"/>
  <c r="BR30" i="5"/>
  <c r="BQ30" i="5"/>
  <c r="BM30" i="5"/>
  <c r="BN30" i="5" s="1"/>
  <c r="BS30" i="5" s="1"/>
  <c r="BG30" i="5"/>
  <c r="BH30" i="5" s="1"/>
  <c r="BC30" i="5"/>
  <c r="BD30" i="5" s="1"/>
  <c r="AW30" i="5"/>
  <c r="AX30" i="5" s="1"/>
  <c r="AY30" i="5" s="1"/>
  <c r="AT30" i="5"/>
  <c r="AS30" i="5"/>
  <c r="AM30" i="5"/>
  <c r="AN30" i="5" s="1"/>
  <c r="AI30" i="5"/>
  <c r="AJ30" i="5" s="1"/>
  <c r="AD30" i="5"/>
  <c r="AC30" i="5"/>
  <c r="Y30" i="5"/>
  <c r="Z30" i="5" s="1"/>
  <c r="AE30" i="5" s="1"/>
  <c r="S30" i="5"/>
  <c r="T30" i="5" s="1"/>
  <c r="O30" i="5"/>
  <c r="P30" i="5" s="1"/>
  <c r="I30" i="5"/>
  <c r="J30" i="5" s="1"/>
  <c r="F30" i="5"/>
  <c r="E30" i="5"/>
  <c r="DE29" i="5"/>
  <c r="DF29" i="5" s="1"/>
  <c r="DA29" i="5"/>
  <c r="DB29" i="5" s="1"/>
  <c r="CU29" i="5"/>
  <c r="CV29" i="5" s="1"/>
  <c r="CQ29" i="5"/>
  <c r="CR29" i="5" s="1"/>
  <c r="CK29" i="5"/>
  <c r="CL29" i="5" s="1"/>
  <c r="CG29" i="5"/>
  <c r="CH29" i="5" s="1"/>
  <c r="CA29" i="5"/>
  <c r="CB29" i="5" s="1"/>
  <c r="BW29" i="5"/>
  <c r="BX29" i="5" s="1"/>
  <c r="BQ29" i="5"/>
  <c r="BR29" i="5" s="1"/>
  <c r="BM29" i="5"/>
  <c r="BN29" i="5" s="1"/>
  <c r="BG29" i="5"/>
  <c r="BH29" i="5" s="1"/>
  <c r="BC29" i="5"/>
  <c r="BD29" i="5" s="1"/>
  <c r="AW29" i="5"/>
  <c r="AX29" i="5" s="1"/>
  <c r="AY29" i="5" s="1"/>
  <c r="AS29" i="5"/>
  <c r="AT29" i="5" s="1"/>
  <c r="AM29" i="5"/>
  <c r="AN29" i="5" s="1"/>
  <c r="AO29" i="5" s="1"/>
  <c r="AI29" i="5"/>
  <c r="AJ29" i="5" s="1"/>
  <c r="AC29" i="5"/>
  <c r="AD29" i="5" s="1"/>
  <c r="Y29" i="5"/>
  <c r="Z29" i="5" s="1"/>
  <c r="S29" i="5"/>
  <c r="T29" i="5" s="1"/>
  <c r="O29" i="5"/>
  <c r="P29" i="5" s="1"/>
  <c r="I29" i="5"/>
  <c r="J29" i="5" s="1"/>
  <c r="E29" i="5"/>
  <c r="F29" i="5" s="1"/>
  <c r="DE28" i="5"/>
  <c r="DF28" i="5" s="1"/>
  <c r="DB28" i="5"/>
  <c r="DA28" i="5"/>
  <c r="CU28" i="5"/>
  <c r="CV28" i="5" s="1"/>
  <c r="CQ28" i="5"/>
  <c r="CR28" i="5" s="1"/>
  <c r="CL28" i="5"/>
  <c r="CK28" i="5"/>
  <c r="CG28" i="5"/>
  <c r="CH28" i="5" s="1"/>
  <c r="CM28" i="5" s="1"/>
  <c r="CA28" i="5"/>
  <c r="CB28" i="5" s="1"/>
  <c r="BW28" i="5"/>
  <c r="BX28" i="5" s="1"/>
  <c r="BQ28" i="5"/>
  <c r="BR28" i="5" s="1"/>
  <c r="BN28" i="5"/>
  <c r="BM28" i="5"/>
  <c r="BG28" i="5"/>
  <c r="BH28" i="5" s="1"/>
  <c r="BC28" i="5"/>
  <c r="BD28" i="5" s="1"/>
  <c r="BI28" i="5" s="1"/>
  <c r="AX28" i="5"/>
  <c r="AW28" i="5"/>
  <c r="AS28" i="5"/>
  <c r="AT28" i="5" s="1"/>
  <c r="AM28" i="5"/>
  <c r="AN28" i="5" s="1"/>
  <c r="AI28" i="5"/>
  <c r="AJ28" i="5" s="1"/>
  <c r="AC28" i="5"/>
  <c r="AD28" i="5" s="1"/>
  <c r="Z28" i="5"/>
  <c r="Y28" i="5"/>
  <c r="S28" i="5"/>
  <c r="T28" i="5" s="1"/>
  <c r="O28" i="5"/>
  <c r="P28" i="5" s="1"/>
  <c r="U28" i="5" s="1"/>
  <c r="J28" i="5"/>
  <c r="I28" i="5"/>
  <c r="E28" i="5"/>
  <c r="F28" i="5" s="1"/>
  <c r="K28" i="5" s="1"/>
  <c r="DF27" i="5"/>
  <c r="DE27" i="5"/>
  <c r="DA27" i="5"/>
  <c r="DB27" i="5" s="1"/>
  <c r="CU27" i="5"/>
  <c r="CV27" i="5" s="1"/>
  <c r="CQ27" i="5"/>
  <c r="CR27" i="5" s="1"/>
  <c r="CK27" i="5"/>
  <c r="CL27" i="5" s="1"/>
  <c r="CH27" i="5"/>
  <c r="CM27" i="5" s="1"/>
  <c r="CG27" i="5"/>
  <c r="CA27" i="5"/>
  <c r="CB27" i="5" s="1"/>
  <c r="BW27" i="5"/>
  <c r="BX27" i="5" s="1"/>
  <c r="BR27" i="5"/>
  <c r="BQ27" i="5"/>
  <c r="BM27" i="5"/>
  <c r="BN27" i="5" s="1"/>
  <c r="BS27" i="5" s="1"/>
  <c r="BG27" i="5"/>
  <c r="BH27" i="5" s="1"/>
  <c r="BC27" i="5"/>
  <c r="BD27" i="5" s="1"/>
  <c r="AW27" i="5"/>
  <c r="AX27" i="5" s="1"/>
  <c r="AT27" i="5"/>
  <c r="AS27" i="5"/>
  <c r="AM27" i="5"/>
  <c r="AN27" i="5" s="1"/>
  <c r="AI27" i="5"/>
  <c r="AJ27" i="5" s="1"/>
  <c r="AD27" i="5"/>
  <c r="AC27" i="5"/>
  <c r="Y27" i="5"/>
  <c r="Z27" i="5" s="1"/>
  <c r="S27" i="5"/>
  <c r="T27" i="5" s="1"/>
  <c r="O27" i="5"/>
  <c r="P27" i="5" s="1"/>
  <c r="I27" i="5"/>
  <c r="J27" i="5" s="1"/>
  <c r="F27" i="5"/>
  <c r="K27" i="5" s="1"/>
  <c r="E27" i="5"/>
  <c r="DE26" i="5"/>
  <c r="DF26" i="5" s="1"/>
  <c r="DA26" i="5"/>
  <c r="DB26" i="5" s="1"/>
  <c r="CU26" i="5"/>
  <c r="CV26" i="5" s="1"/>
  <c r="CQ26" i="5"/>
  <c r="CR26" i="5" s="1"/>
  <c r="CK26" i="5"/>
  <c r="CL26" i="5" s="1"/>
  <c r="CG26" i="5"/>
  <c r="CH26" i="5" s="1"/>
  <c r="CA26" i="5"/>
  <c r="CB26" i="5" s="1"/>
  <c r="BW26" i="5"/>
  <c r="BX26" i="5" s="1"/>
  <c r="CC26" i="5" s="1"/>
  <c r="BQ26" i="5"/>
  <c r="BR26" i="5" s="1"/>
  <c r="BM26" i="5"/>
  <c r="BN26" i="5" s="1"/>
  <c r="BG26" i="5"/>
  <c r="BH26" i="5" s="1"/>
  <c r="BC26" i="5"/>
  <c r="BD26" i="5" s="1"/>
  <c r="BI26" i="5" s="1"/>
  <c r="AW26" i="5"/>
  <c r="AX26" i="5" s="1"/>
  <c r="AY26" i="5" s="1"/>
  <c r="AS26" i="5"/>
  <c r="AT26" i="5" s="1"/>
  <c r="AM26" i="5"/>
  <c r="AN26" i="5" s="1"/>
  <c r="AI26" i="5"/>
  <c r="AJ26" i="5" s="1"/>
  <c r="AC26" i="5"/>
  <c r="AD26" i="5" s="1"/>
  <c r="Y26" i="5"/>
  <c r="Z26" i="5" s="1"/>
  <c r="S26" i="5"/>
  <c r="T26" i="5" s="1"/>
  <c r="O26" i="5"/>
  <c r="P26" i="5" s="1"/>
  <c r="U26" i="5" s="1"/>
  <c r="I26" i="5"/>
  <c r="J26" i="5" s="1"/>
  <c r="E26" i="5"/>
  <c r="F26" i="5" s="1"/>
  <c r="DF25" i="5"/>
  <c r="DE25" i="5"/>
  <c r="DB25" i="5"/>
  <c r="DA25" i="5"/>
  <c r="CU25" i="5"/>
  <c r="CV25" i="5" s="1"/>
  <c r="CW25" i="5" s="1"/>
  <c r="CQ25" i="5"/>
  <c r="CR25" i="5" s="1"/>
  <c r="CL25" i="5"/>
  <c r="CK25" i="5"/>
  <c r="CH25" i="5"/>
  <c r="CM25" i="5" s="1"/>
  <c r="CG25" i="5"/>
  <c r="CA25" i="5"/>
  <c r="CB25" i="5" s="1"/>
  <c r="BW25" i="5"/>
  <c r="BX25" i="5" s="1"/>
  <c r="BR25" i="5"/>
  <c r="BQ25" i="5"/>
  <c r="BN25" i="5"/>
  <c r="BM25" i="5"/>
  <c r="BG25" i="5"/>
  <c r="BH25" i="5" s="1"/>
  <c r="BC25" i="5"/>
  <c r="BD25" i="5" s="1"/>
  <c r="AX25" i="5"/>
  <c r="AW25" i="5"/>
  <c r="AT25" i="5"/>
  <c r="AS25" i="5"/>
  <c r="AM25" i="5"/>
  <c r="AN25" i="5" s="1"/>
  <c r="AO25" i="5" s="1"/>
  <c r="AI25" i="5"/>
  <c r="AJ25" i="5" s="1"/>
  <c r="AD25" i="5"/>
  <c r="AC25" i="5"/>
  <c r="Z25" i="5"/>
  <c r="Y25" i="5"/>
  <c r="S25" i="5"/>
  <c r="T25" i="5" s="1"/>
  <c r="O25" i="5"/>
  <c r="P25" i="5" s="1"/>
  <c r="J25" i="5"/>
  <c r="I25" i="5"/>
  <c r="F25" i="5"/>
  <c r="K25" i="5" s="1"/>
  <c r="E25" i="5"/>
  <c r="DQ24" i="5"/>
  <c r="DE24" i="5"/>
  <c r="DF24" i="5" s="1"/>
  <c r="DA24" i="5"/>
  <c r="DB24" i="5" s="1"/>
  <c r="CU24" i="5"/>
  <c r="CV24" i="5" s="1"/>
  <c r="CQ24" i="5"/>
  <c r="CR24" i="5" s="1"/>
  <c r="CK24" i="5"/>
  <c r="CL24" i="5" s="1"/>
  <c r="CG24" i="5"/>
  <c r="CH24" i="5" s="1"/>
  <c r="CA24" i="5"/>
  <c r="CB24" i="5" s="1"/>
  <c r="BW24" i="5"/>
  <c r="BX24" i="5" s="1"/>
  <c r="CC24" i="5" s="1"/>
  <c r="BQ24" i="5"/>
  <c r="BR24" i="5" s="1"/>
  <c r="BM24" i="5"/>
  <c r="BN24" i="5" s="1"/>
  <c r="BG24" i="5"/>
  <c r="BH24" i="5" s="1"/>
  <c r="BC24" i="5"/>
  <c r="BD24" i="5" s="1"/>
  <c r="BI24" i="5" s="1"/>
  <c r="AW24" i="5"/>
  <c r="AX24" i="5" s="1"/>
  <c r="AY24" i="5" s="1"/>
  <c r="AS24" i="5"/>
  <c r="AT24" i="5" s="1"/>
  <c r="AM24" i="5"/>
  <c r="AN24" i="5" s="1"/>
  <c r="AI24" i="5"/>
  <c r="AJ24" i="5" s="1"/>
  <c r="AC24" i="5"/>
  <c r="AD24" i="5" s="1"/>
  <c r="Y24" i="5"/>
  <c r="Z24" i="5" s="1"/>
  <c r="S24" i="5"/>
  <c r="T24" i="5" s="1"/>
  <c r="O24" i="5"/>
  <c r="P24" i="5" s="1"/>
  <c r="U24" i="5" s="1"/>
  <c r="I24" i="5"/>
  <c r="J24" i="5" s="1"/>
  <c r="E24" i="5"/>
  <c r="F24" i="5" s="1"/>
  <c r="DF23" i="5"/>
  <c r="DE23" i="5"/>
  <c r="DB23" i="5"/>
  <c r="DA23" i="5"/>
  <c r="CU23" i="5"/>
  <c r="CV23" i="5" s="1"/>
  <c r="CW23" i="5" s="1"/>
  <c r="CQ23" i="5"/>
  <c r="CR23" i="5" s="1"/>
  <c r="CL23" i="5"/>
  <c r="CK23" i="5"/>
  <c r="CH23" i="5"/>
  <c r="CM23" i="5" s="1"/>
  <c r="CG23" i="5"/>
  <c r="CA23" i="5"/>
  <c r="CB23" i="5" s="1"/>
  <c r="BW23" i="5"/>
  <c r="BX23" i="5" s="1"/>
  <c r="BR23" i="5"/>
  <c r="BQ23" i="5"/>
  <c r="BN23" i="5"/>
  <c r="BM23" i="5"/>
  <c r="BG23" i="5"/>
  <c r="BH23" i="5" s="1"/>
  <c r="BC23" i="5"/>
  <c r="BD23" i="5" s="1"/>
  <c r="AX23" i="5"/>
  <c r="AW23" i="5"/>
  <c r="AT23" i="5"/>
  <c r="AS23" i="5"/>
  <c r="AM23" i="5"/>
  <c r="AN23" i="5" s="1"/>
  <c r="AO23" i="5" s="1"/>
  <c r="AI23" i="5"/>
  <c r="AJ23" i="5" s="1"/>
  <c r="AD23" i="5"/>
  <c r="AC23" i="5"/>
  <c r="Z23" i="5"/>
  <c r="Y23" i="5"/>
  <c r="S23" i="5"/>
  <c r="T23" i="5" s="1"/>
  <c r="O23" i="5"/>
  <c r="P23" i="5" s="1"/>
  <c r="J23" i="5"/>
  <c r="I23" i="5"/>
  <c r="F23" i="5"/>
  <c r="K23" i="5" s="1"/>
  <c r="E23" i="5"/>
  <c r="DE22" i="5"/>
  <c r="DF22" i="5" s="1"/>
  <c r="DA22" i="5"/>
  <c r="DB22" i="5" s="1"/>
  <c r="DG22" i="5" s="1"/>
  <c r="CU22" i="5"/>
  <c r="CV22" i="5" s="1"/>
  <c r="CQ22" i="5"/>
  <c r="CR22" i="5" s="1"/>
  <c r="CK22" i="5"/>
  <c r="CL22" i="5" s="1"/>
  <c r="CG22" i="5"/>
  <c r="CH22" i="5" s="1"/>
  <c r="CM22" i="5" s="1"/>
  <c r="CA22" i="5"/>
  <c r="CB22" i="5" s="1"/>
  <c r="BW22" i="5"/>
  <c r="BX22" i="5" s="1"/>
  <c r="CC22" i="5" s="1"/>
  <c r="BQ22" i="5"/>
  <c r="BR22" i="5" s="1"/>
  <c r="BM22" i="5"/>
  <c r="BN22" i="5" s="1"/>
  <c r="BS22" i="5" s="1"/>
  <c r="BG22" i="5"/>
  <c r="BH22" i="5" s="1"/>
  <c r="BC22" i="5"/>
  <c r="BD22" i="5" s="1"/>
  <c r="BI22" i="5" s="1"/>
  <c r="AW22" i="5"/>
  <c r="AX22" i="5" s="1"/>
  <c r="AS22" i="5"/>
  <c r="AT22" i="5" s="1"/>
  <c r="AM22" i="5"/>
  <c r="AN22" i="5" s="1"/>
  <c r="AI22" i="5"/>
  <c r="AJ22" i="5" s="1"/>
  <c r="AC22" i="5"/>
  <c r="AD22" i="5" s="1"/>
  <c r="Y22" i="5"/>
  <c r="Z22" i="5" s="1"/>
  <c r="AE22" i="5" s="1"/>
  <c r="S22" i="5"/>
  <c r="T22" i="5" s="1"/>
  <c r="O22" i="5"/>
  <c r="P22" i="5" s="1"/>
  <c r="U22" i="5" s="1"/>
  <c r="I22" i="5"/>
  <c r="J22" i="5" s="1"/>
  <c r="E22" i="5"/>
  <c r="F22" i="5" s="1"/>
  <c r="K22" i="5" s="1"/>
  <c r="DF21" i="5"/>
  <c r="DE21" i="5"/>
  <c r="DB21" i="5"/>
  <c r="DG21" i="5" s="1"/>
  <c r="DA21" i="5"/>
  <c r="CU21" i="5"/>
  <c r="CV21" i="5" s="1"/>
  <c r="CW21" i="5" s="1"/>
  <c r="CQ21" i="5"/>
  <c r="CR21" i="5" s="1"/>
  <c r="CL21" i="5"/>
  <c r="CK21" i="5"/>
  <c r="CH21" i="5"/>
  <c r="CG21" i="5"/>
  <c r="CA21" i="5"/>
  <c r="CB21" i="5" s="1"/>
  <c r="BW21" i="5"/>
  <c r="BX21" i="5" s="1"/>
  <c r="BR21" i="5"/>
  <c r="BQ21" i="5"/>
  <c r="BN21" i="5"/>
  <c r="BS21" i="5" s="1"/>
  <c r="BM21" i="5"/>
  <c r="BG21" i="5"/>
  <c r="BH21" i="5" s="1"/>
  <c r="BC21" i="5"/>
  <c r="BD21" i="5" s="1"/>
  <c r="AX21" i="5"/>
  <c r="AY21" i="5" s="1"/>
  <c r="AW21" i="5"/>
  <c r="AT21" i="5"/>
  <c r="AS21" i="5"/>
  <c r="AM21" i="5"/>
  <c r="AN21" i="5" s="1"/>
  <c r="AO21" i="5" s="1"/>
  <c r="AI21" i="5"/>
  <c r="AJ21" i="5" s="1"/>
  <c r="AD21" i="5"/>
  <c r="AC21" i="5"/>
  <c r="Z21" i="5"/>
  <c r="AE21" i="5" s="1"/>
  <c r="Y21" i="5"/>
  <c r="S21" i="5"/>
  <c r="T21" i="5" s="1"/>
  <c r="O21" i="5"/>
  <c r="P21" i="5" s="1"/>
  <c r="J21" i="5"/>
  <c r="I21" i="5"/>
  <c r="F21" i="5"/>
  <c r="E21" i="5"/>
  <c r="DE20" i="5"/>
  <c r="DF20" i="5" s="1"/>
  <c r="DA20" i="5"/>
  <c r="DB20" i="5" s="1"/>
  <c r="DG20" i="5" s="1"/>
  <c r="CU20" i="5"/>
  <c r="CV20" i="5" s="1"/>
  <c r="CQ20" i="5"/>
  <c r="CR20" i="5" s="1"/>
  <c r="CK20" i="5"/>
  <c r="CL20" i="5" s="1"/>
  <c r="CG20" i="5"/>
  <c r="CH20" i="5" s="1"/>
  <c r="CA20" i="5"/>
  <c r="CB20" i="5" s="1"/>
  <c r="BW20" i="5"/>
  <c r="BX20" i="5" s="1"/>
  <c r="BQ20" i="5"/>
  <c r="BR20" i="5" s="1"/>
  <c r="BM20" i="5"/>
  <c r="BN20" i="5" s="1"/>
  <c r="BS20" i="5" s="1"/>
  <c r="BG20" i="5"/>
  <c r="BH20" i="5" s="1"/>
  <c r="BC20" i="5"/>
  <c r="BD20" i="5" s="1"/>
  <c r="AW20" i="5"/>
  <c r="AX20" i="5" s="1"/>
  <c r="AS20" i="5"/>
  <c r="AT20" i="5" s="1"/>
  <c r="AM20" i="5"/>
  <c r="AN20" i="5" s="1"/>
  <c r="AO20" i="5" s="1"/>
  <c r="AI20" i="5"/>
  <c r="AJ20" i="5" s="1"/>
  <c r="AD20" i="5"/>
  <c r="AC20" i="5"/>
  <c r="Z20" i="5"/>
  <c r="AE20" i="5" s="1"/>
  <c r="Y20" i="5"/>
  <c r="S20" i="5"/>
  <c r="T20" i="5" s="1"/>
  <c r="O20" i="5"/>
  <c r="P20" i="5" s="1"/>
  <c r="J20" i="5"/>
  <c r="I20" i="5"/>
  <c r="F20" i="5"/>
  <c r="E20" i="5"/>
  <c r="DF19" i="5"/>
  <c r="DE19" i="5"/>
  <c r="DB19" i="5"/>
  <c r="DA19" i="5"/>
  <c r="CU19" i="5"/>
  <c r="CV19" i="5" s="1"/>
  <c r="CQ19" i="5"/>
  <c r="CR19" i="5" s="1"/>
  <c r="CL19" i="5"/>
  <c r="CK19" i="5"/>
  <c r="CH19" i="5"/>
  <c r="CM19" i="5" s="1"/>
  <c r="CG19" i="5"/>
  <c r="CA19" i="5"/>
  <c r="CB19" i="5" s="1"/>
  <c r="BW19" i="5"/>
  <c r="BX19" i="5" s="1"/>
  <c r="BR19" i="5"/>
  <c r="BQ19" i="5"/>
  <c r="BN19" i="5"/>
  <c r="BM19" i="5"/>
  <c r="BI19" i="5"/>
  <c r="BG19" i="5"/>
  <c r="BH19" i="5" s="1"/>
  <c r="BC19" i="5"/>
  <c r="BD19" i="5" s="1"/>
  <c r="AW19" i="5"/>
  <c r="AX19" i="5" s="1"/>
  <c r="AY19" i="5" s="1"/>
  <c r="AS19" i="5"/>
  <c r="AT19" i="5" s="1"/>
  <c r="AM19" i="5"/>
  <c r="AN19" i="5" s="1"/>
  <c r="AI19" i="5"/>
  <c r="AJ19" i="5" s="1"/>
  <c r="AC19" i="5"/>
  <c r="AD19" i="5" s="1"/>
  <c r="Y19" i="5"/>
  <c r="Z19" i="5" s="1"/>
  <c r="S19" i="5"/>
  <c r="T19" i="5" s="1"/>
  <c r="O19" i="5"/>
  <c r="P19" i="5" s="1"/>
  <c r="U19" i="5" s="1"/>
  <c r="I19" i="5"/>
  <c r="J19" i="5" s="1"/>
  <c r="E19" i="5"/>
  <c r="F19" i="5" s="1"/>
  <c r="DF18" i="5"/>
  <c r="DE18" i="5"/>
  <c r="DB18" i="5"/>
  <c r="DA18" i="5"/>
  <c r="CU18" i="5"/>
  <c r="CV18" i="5" s="1"/>
  <c r="CW18" i="5" s="1"/>
  <c r="CQ18" i="5"/>
  <c r="CR18" i="5" s="1"/>
  <c r="CL18" i="5"/>
  <c r="CK18" i="5"/>
  <c r="CH18" i="5"/>
  <c r="CM18" i="5" s="1"/>
  <c r="CG18" i="5"/>
  <c r="CA18" i="5"/>
  <c r="CB18" i="5" s="1"/>
  <c r="BW18" i="5"/>
  <c r="BX18" i="5" s="1"/>
  <c r="BR18" i="5"/>
  <c r="BQ18" i="5"/>
  <c r="BN18" i="5"/>
  <c r="BM18" i="5"/>
  <c r="BG18" i="5"/>
  <c r="BH18" i="5" s="1"/>
  <c r="BC18" i="5"/>
  <c r="BD18" i="5" s="1"/>
  <c r="AX18" i="5"/>
  <c r="AW18" i="5"/>
  <c r="AT18" i="5"/>
  <c r="AS18" i="5"/>
  <c r="AM18" i="5"/>
  <c r="AN18" i="5" s="1"/>
  <c r="AI18" i="5"/>
  <c r="AJ18" i="5" s="1"/>
  <c r="AO18" i="5" s="1"/>
  <c r="AC18" i="5"/>
  <c r="AD18" i="5" s="1"/>
  <c r="Y18" i="5"/>
  <c r="Z18" i="5" s="1"/>
  <c r="S18" i="5"/>
  <c r="T18" i="5" s="1"/>
  <c r="O18" i="5"/>
  <c r="P18" i="5" s="1"/>
  <c r="I18" i="5"/>
  <c r="J18" i="5" s="1"/>
  <c r="E18" i="5"/>
  <c r="F18" i="5" s="1"/>
  <c r="DQ17" i="5"/>
  <c r="DE17" i="5"/>
  <c r="DF17" i="5" s="1"/>
  <c r="DA17" i="5"/>
  <c r="DB17" i="5" s="1"/>
  <c r="CU17" i="5"/>
  <c r="CV17" i="5" s="1"/>
  <c r="CW17" i="5" s="1"/>
  <c r="CQ17" i="5"/>
  <c r="CR17" i="5" s="1"/>
  <c r="CL17" i="5"/>
  <c r="CK17" i="5"/>
  <c r="CH17" i="5"/>
  <c r="CG17" i="5"/>
  <c r="CA17" i="5"/>
  <c r="CB17" i="5" s="1"/>
  <c r="CC17" i="5" s="1"/>
  <c r="BW17" i="5"/>
  <c r="BX17" i="5" s="1"/>
  <c r="BR17" i="5"/>
  <c r="BQ17" i="5"/>
  <c r="BN17" i="5"/>
  <c r="BS17" i="5" s="1"/>
  <c r="BM17" i="5"/>
  <c r="BG17" i="5"/>
  <c r="BH17" i="5" s="1"/>
  <c r="BC17" i="5"/>
  <c r="BD17" i="5" s="1"/>
  <c r="AX17" i="5"/>
  <c r="AW17" i="5"/>
  <c r="AS17" i="5"/>
  <c r="AT17" i="5" s="1"/>
  <c r="AM17" i="5"/>
  <c r="AN17" i="5" s="1"/>
  <c r="AO17" i="5" s="1"/>
  <c r="AI17" i="5"/>
  <c r="AJ17" i="5" s="1"/>
  <c r="AC17" i="5"/>
  <c r="AD17" i="5" s="1"/>
  <c r="Z17" i="5"/>
  <c r="Y17" i="5"/>
  <c r="S17" i="5"/>
  <c r="T17" i="5" s="1"/>
  <c r="O17" i="5"/>
  <c r="P17" i="5" s="1"/>
  <c r="U17" i="5" s="1"/>
  <c r="I17" i="5"/>
  <c r="J17" i="5" s="1"/>
  <c r="E17" i="5"/>
  <c r="F17" i="5" s="1"/>
  <c r="DQ16" i="5"/>
  <c r="DF16" i="5"/>
  <c r="DE16" i="5"/>
  <c r="DA16" i="5"/>
  <c r="DB16" i="5" s="1"/>
  <c r="CU16" i="5"/>
  <c r="CV16" i="5" s="1"/>
  <c r="CQ16" i="5"/>
  <c r="CR16" i="5" s="1"/>
  <c r="CK16" i="5"/>
  <c r="CL16" i="5" s="1"/>
  <c r="CG16" i="5"/>
  <c r="CH16" i="5" s="1"/>
  <c r="CB16" i="5"/>
  <c r="CA16" i="5"/>
  <c r="BW16" i="5"/>
  <c r="BX16" i="5" s="1"/>
  <c r="BR16" i="5"/>
  <c r="BQ16" i="5"/>
  <c r="BM16" i="5"/>
  <c r="BN16" i="5" s="1"/>
  <c r="BG16" i="5"/>
  <c r="BH16" i="5" s="1"/>
  <c r="BC16" i="5"/>
  <c r="BD16" i="5" s="1"/>
  <c r="BI16" i="5" s="1"/>
  <c r="AW16" i="5"/>
  <c r="AX16" i="5" s="1"/>
  <c r="AY16" i="5" s="1"/>
  <c r="AS16" i="5"/>
  <c r="AT16" i="5" s="1"/>
  <c r="AM16" i="5"/>
  <c r="AN16" i="5" s="1"/>
  <c r="AO16" i="5" s="1"/>
  <c r="AI16" i="5"/>
  <c r="AJ16" i="5" s="1"/>
  <c r="AC16" i="5"/>
  <c r="AD16" i="5" s="1"/>
  <c r="Y16" i="5"/>
  <c r="Z16" i="5" s="1"/>
  <c r="AE16" i="5" s="1"/>
  <c r="S16" i="5"/>
  <c r="T16" i="5" s="1"/>
  <c r="O16" i="5"/>
  <c r="P16" i="5" s="1"/>
  <c r="I16" i="5"/>
  <c r="J16" i="5" s="1"/>
  <c r="F16" i="5"/>
  <c r="E16" i="5"/>
  <c r="DQ15" i="5"/>
  <c r="DE15" i="5"/>
  <c r="DF15" i="5" s="1"/>
  <c r="DA15" i="5"/>
  <c r="DB15" i="5" s="1"/>
  <c r="CU15" i="5"/>
  <c r="CV15" i="5" s="1"/>
  <c r="CW15" i="5" s="1"/>
  <c r="CQ15" i="5"/>
  <c r="CR15" i="5" s="1"/>
  <c r="CK15" i="5"/>
  <c r="CL15" i="5" s="1"/>
  <c r="CG15" i="5"/>
  <c r="CH15" i="5" s="1"/>
  <c r="CA15" i="5"/>
  <c r="CB15" i="5" s="1"/>
  <c r="BW15" i="5"/>
  <c r="BX15" i="5" s="1"/>
  <c r="BR15" i="5"/>
  <c r="BQ15" i="5"/>
  <c r="BN15" i="5"/>
  <c r="BS15" i="5" s="1"/>
  <c r="BM15" i="5"/>
  <c r="BG15" i="5"/>
  <c r="BH15" i="5" s="1"/>
  <c r="BC15" i="5"/>
  <c r="BD15" i="5" s="1"/>
  <c r="BI15" i="5" s="1"/>
  <c r="AX15" i="5"/>
  <c r="AW15" i="5"/>
  <c r="AS15" i="5"/>
  <c r="AT15" i="5" s="1"/>
  <c r="AM15" i="5"/>
  <c r="AN15" i="5" s="1"/>
  <c r="AI15" i="5"/>
  <c r="AJ15" i="5" s="1"/>
  <c r="AC15" i="5"/>
  <c r="AD15" i="5" s="1"/>
  <c r="Y15" i="5"/>
  <c r="Z15" i="5" s="1"/>
  <c r="S15" i="5"/>
  <c r="T15" i="5" s="1"/>
  <c r="O15" i="5"/>
  <c r="P15" i="5" s="1"/>
  <c r="I15" i="5"/>
  <c r="J15" i="5" s="1"/>
  <c r="E15" i="5"/>
  <c r="F15" i="5" s="1"/>
  <c r="DE14" i="5"/>
  <c r="DF14" i="5" s="1"/>
  <c r="DA14" i="5"/>
  <c r="DB14" i="5" s="1"/>
  <c r="CU14" i="5"/>
  <c r="CV14" i="5" s="1"/>
  <c r="CR14" i="5"/>
  <c r="CQ14" i="5"/>
  <c r="CK14" i="5"/>
  <c r="CL14" i="5" s="1"/>
  <c r="CG14" i="5"/>
  <c r="CH14" i="5" s="1"/>
  <c r="CM14" i="5" s="1"/>
  <c r="CB14" i="5"/>
  <c r="CA14" i="5"/>
  <c r="BW14" i="5"/>
  <c r="BX14" i="5" s="1"/>
  <c r="BQ14" i="5"/>
  <c r="BR14" i="5" s="1"/>
  <c r="BM14" i="5"/>
  <c r="BN14" i="5" s="1"/>
  <c r="BS14" i="5" s="1"/>
  <c r="BG14" i="5"/>
  <c r="BH14" i="5" s="1"/>
  <c r="BC14" i="5"/>
  <c r="BD14" i="5" s="1"/>
  <c r="BI14" i="5" s="1"/>
  <c r="AW14" i="5"/>
  <c r="AX14" i="5" s="1"/>
  <c r="AS14" i="5"/>
  <c r="AT14" i="5" s="1"/>
  <c r="AM14" i="5"/>
  <c r="AN14" i="5" s="1"/>
  <c r="AO14" i="5" s="1"/>
  <c r="AI14" i="5"/>
  <c r="AJ14" i="5" s="1"/>
  <c r="AC14" i="5"/>
  <c r="AD14" i="5" s="1"/>
  <c r="Y14" i="5"/>
  <c r="Z14" i="5" s="1"/>
  <c r="S14" i="5"/>
  <c r="T14" i="5" s="1"/>
  <c r="P14" i="5"/>
  <c r="U14" i="5" s="1"/>
  <c r="O14" i="5"/>
  <c r="I14" i="5"/>
  <c r="J14" i="5" s="1"/>
  <c r="E14" i="5"/>
  <c r="F14" i="5" s="1"/>
  <c r="K14" i="5" s="1"/>
  <c r="DE13" i="5"/>
  <c r="DF13" i="5" s="1"/>
  <c r="DA13" i="5"/>
  <c r="DB13" i="5" s="1"/>
  <c r="CV13" i="5"/>
  <c r="CU13" i="5"/>
  <c r="CQ13" i="5"/>
  <c r="CR13" i="5" s="1"/>
  <c r="CK13" i="5"/>
  <c r="CL13" i="5" s="1"/>
  <c r="CG13" i="5"/>
  <c r="CH13" i="5" s="1"/>
  <c r="CA13" i="5"/>
  <c r="CB13" i="5" s="1"/>
  <c r="BX13" i="5"/>
  <c r="BW13" i="5"/>
  <c r="BQ13" i="5"/>
  <c r="BR13" i="5" s="1"/>
  <c r="BM13" i="5"/>
  <c r="BN13" i="5" s="1"/>
  <c r="BH13" i="5"/>
  <c r="BG13" i="5"/>
  <c r="BC13" i="5"/>
  <c r="BD13" i="5" s="1"/>
  <c r="BI13" i="5" s="1"/>
  <c r="AW13" i="5"/>
  <c r="AX13" i="5" s="1"/>
  <c r="AY13" i="5" s="1"/>
  <c r="AS13" i="5"/>
  <c r="AT13" i="5" s="1"/>
  <c r="AM13" i="5"/>
  <c r="AN13" i="5" s="1"/>
  <c r="AO13" i="5" s="1"/>
  <c r="AJ13" i="5"/>
  <c r="AI13" i="5"/>
  <c r="AC13" i="5"/>
  <c r="AD13" i="5" s="1"/>
  <c r="Y13" i="5"/>
  <c r="Z13" i="5" s="1"/>
  <c r="T13" i="5"/>
  <c r="S13" i="5"/>
  <c r="O13" i="5"/>
  <c r="P13" i="5" s="1"/>
  <c r="U13" i="5" s="1"/>
  <c r="I13" i="5"/>
  <c r="J13" i="5" s="1"/>
  <c r="E13" i="5"/>
  <c r="F13" i="5" s="1"/>
  <c r="DE12" i="5"/>
  <c r="DF12" i="5" s="1"/>
  <c r="DA12" i="5"/>
  <c r="DB12" i="5" s="1"/>
  <c r="DG12" i="5" s="1"/>
  <c r="CV12" i="5"/>
  <c r="CW12" i="5" s="1"/>
  <c r="CU12" i="5"/>
  <c r="CQ12" i="5"/>
  <c r="CR12" i="5" s="1"/>
  <c r="CK12" i="5"/>
  <c r="CL12" i="5" s="1"/>
  <c r="CG12" i="5"/>
  <c r="CH12" i="5" s="1"/>
  <c r="CM12" i="5" s="1"/>
  <c r="CA12" i="5"/>
  <c r="CB12" i="5" s="1"/>
  <c r="BW12" i="5"/>
  <c r="BX12" i="5" s="1"/>
  <c r="CC12" i="5" s="1"/>
  <c r="BQ12" i="5"/>
  <c r="BR12" i="5" s="1"/>
  <c r="BM12" i="5"/>
  <c r="BN12" i="5" s="1"/>
  <c r="BS12" i="5" s="1"/>
  <c r="BG12" i="5"/>
  <c r="BH12" i="5" s="1"/>
  <c r="BC12" i="5"/>
  <c r="BD12" i="5" s="1"/>
  <c r="AW12" i="5"/>
  <c r="AX12" i="5" s="1"/>
  <c r="AS12" i="5"/>
  <c r="AT12" i="5" s="1"/>
  <c r="AM12" i="5"/>
  <c r="AN12" i="5" s="1"/>
  <c r="AJ12" i="5"/>
  <c r="AI12" i="5"/>
  <c r="AC12" i="5"/>
  <c r="AD12" i="5" s="1"/>
  <c r="Y12" i="5"/>
  <c r="Z12" i="5" s="1"/>
  <c r="AE12" i="5" s="1"/>
  <c r="T12" i="5"/>
  <c r="S12" i="5"/>
  <c r="O12" i="5"/>
  <c r="P12" i="5" s="1"/>
  <c r="I12" i="5"/>
  <c r="J12" i="5" s="1"/>
  <c r="E12" i="5"/>
  <c r="F12" i="5" s="1"/>
  <c r="K12" i="5" s="1"/>
  <c r="DQ11" i="5"/>
  <c r="DE11" i="5"/>
  <c r="DF11" i="5" s="1"/>
  <c r="DA11" i="5"/>
  <c r="DB11" i="5" s="1"/>
  <c r="CU11" i="5"/>
  <c r="CV11" i="5" s="1"/>
  <c r="CW11" i="5" s="1"/>
  <c r="CR11" i="5"/>
  <c r="CQ11" i="5"/>
  <c r="CK11" i="5"/>
  <c r="CL11" i="5" s="1"/>
  <c r="CG11" i="5"/>
  <c r="CH11" i="5" s="1"/>
  <c r="CB11" i="5"/>
  <c r="CA11" i="5"/>
  <c r="BW11" i="5"/>
  <c r="BX11" i="5" s="1"/>
  <c r="CC11" i="5" s="1"/>
  <c r="BQ11" i="5"/>
  <c r="BR11" i="5" s="1"/>
  <c r="BM11" i="5"/>
  <c r="BN11" i="5" s="1"/>
  <c r="BG11" i="5"/>
  <c r="BH11" i="5" s="1"/>
  <c r="BD11" i="5"/>
  <c r="BC11" i="5"/>
  <c r="AW11" i="5"/>
  <c r="AX11" i="5" s="1"/>
  <c r="AS11" i="5"/>
  <c r="AT11" i="5" s="1"/>
  <c r="AN11" i="5"/>
  <c r="AM11" i="5"/>
  <c r="AI11" i="5"/>
  <c r="AJ11" i="5" s="1"/>
  <c r="AC11" i="5"/>
  <c r="AD11" i="5" s="1"/>
  <c r="Y11" i="5"/>
  <c r="Z11" i="5" s="1"/>
  <c r="S11" i="5"/>
  <c r="T11" i="5" s="1"/>
  <c r="P11" i="5"/>
  <c r="O11" i="5"/>
  <c r="I11" i="5"/>
  <c r="J11" i="5" s="1"/>
  <c r="E11" i="5"/>
  <c r="F11" i="5" s="1"/>
  <c r="DE10" i="5"/>
  <c r="DF10" i="5" s="1"/>
  <c r="DA10" i="5"/>
  <c r="DB10" i="5" s="1"/>
  <c r="DG10" i="5" s="1"/>
  <c r="CU10" i="5"/>
  <c r="CV10" i="5" s="1"/>
  <c r="CW10" i="5" s="1"/>
  <c r="CR10" i="5"/>
  <c r="CQ10" i="5"/>
  <c r="CK10" i="5"/>
  <c r="CL10" i="5" s="1"/>
  <c r="CG10" i="5"/>
  <c r="CH10" i="5" s="1"/>
  <c r="CM10" i="5" s="1"/>
  <c r="CB10" i="5"/>
  <c r="CA10" i="5"/>
  <c r="BW10" i="5"/>
  <c r="BX10" i="5" s="1"/>
  <c r="BQ10" i="5"/>
  <c r="BR10" i="5" s="1"/>
  <c r="BM10" i="5"/>
  <c r="BN10" i="5" s="1"/>
  <c r="BG10" i="5"/>
  <c r="BH10" i="5" s="1"/>
  <c r="BC10" i="5"/>
  <c r="BD10" i="5" s="1"/>
  <c r="BI10" i="5" s="1"/>
  <c r="AW10" i="5"/>
  <c r="AX10" i="5" s="1"/>
  <c r="AS10" i="5"/>
  <c r="AT10" i="5" s="1"/>
  <c r="AM10" i="5"/>
  <c r="AN10" i="5" s="1"/>
  <c r="AO10" i="5" s="1"/>
  <c r="AI10" i="5"/>
  <c r="AJ10" i="5" s="1"/>
  <c r="AC10" i="5"/>
  <c r="AD10" i="5" s="1"/>
  <c r="Y10" i="5"/>
  <c r="Z10" i="5" s="1"/>
  <c r="AE10" i="5" s="1"/>
  <c r="S10" i="5"/>
  <c r="T10" i="5" s="1"/>
  <c r="P10" i="5"/>
  <c r="O10" i="5"/>
  <c r="I10" i="5"/>
  <c r="J10" i="5" s="1"/>
  <c r="E10" i="5"/>
  <c r="F10" i="5" s="1"/>
  <c r="K10" i="5" s="1"/>
  <c r="DE9" i="5"/>
  <c r="DF9" i="5" s="1"/>
  <c r="DA9" i="5"/>
  <c r="DB9" i="5" s="1"/>
  <c r="CV9" i="5"/>
  <c r="CU9" i="5"/>
  <c r="CR9" i="5"/>
  <c r="CQ9" i="5"/>
  <c r="CK9" i="5"/>
  <c r="CL9" i="5" s="1"/>
  <c r="CG9" i="5"/>
  <c r="CH9" i="5" s="1"/>
  <c r="CB9" i="5"/>
  <c r="CA9" i="5"/>
  <c r="BX9" i="5"/>
  <c r="BW9" i="5"/>
  <c r="BQ9" i="5"/>
  <c r="BR9" i="5" s="1"/>
  <c r="BM9" i="5"/>
  <c r="BN9" i="5" s="1"/>
  <c r="BH9" i="5"/>
  <c r="BG9" i="5"/>
  <c r="BD9" i="5"/>
  <c r="BI9" i="5" s="1"/>
  <c r="BC9" i="5"/>
  <c r="AW9" i="5"/>
  <c r="AX9" i="5" s="1"/>
  <c r="AY9" i="5" s="1"/>
  <c r="AS9" i="5"/>
  <c r="AT9" i="5" s="1"/>
  <c r="AN9" i="5"/>
  <c r="AO9" i="5" s="1"/>
  <c r="AM9" i="5"/>
  <c r="AJ9" i="5"/>
  <c r="AI9" i="5"/>
  <c r="AC9" i="5"/>
  <c r="AD9" i="5" s="1"/>
  <c r="Y9" i="5"/>
  <c r="Z9" i="5" s="1"/>
  <c r="T9" i="5"/>
  <c r="S9" i="5"/>
  <c r="P9" i="5"/>
  <c r="U9" i="5" s="1"/>
  <c r="O9" i="5"/>
  <c r="I9" i="5"/>
  <c r="J9" i="5" s="1"/>
  <c r="E9" i="5"/>
  <c r="F9" i="5" s="1"/>
  <c r="DE8" i="5"/>
  <c r="DF8" i="5" s="1"/>
  <c r="DA8" i="5"/>
  <c r="DB8" i="5" s="1"/>
  <c r="DG8" i="5" s="1"/>
  <c r="CV8" i="5"/>
  <c r="CU8" i="5"/>
  <c r="CQ8" i="5"/>
  <c r="CR8" i="5" s="1"/>
  <c r="CK8" i="5"/>
  <c r="CL8" i="5" s="1"/>
  <c r="CG8" i="5"/>
  <c r="CH8" i="5" s="1"/>
  <c r="CA8" i="5"/>
  <c r="CB8" i="5" s="1"/>
  <c r="BX8" i="5"/>
  <c r="BW8" i="5"/>
  <c r="BQ8" i="5"/>
  <c r="BR8" i="5" s="1"/>
  <c r="BM8" i="5"/>
  <c r="BN8" i="5" s="1"/>
  <c r="BS8" i="5" s="1"/>
  <c r="BH8" i="5"/>
  <c r="BG8" i="5"/>
  <c r="BC8" i="5"/>
  <c r="BD8" i="5" s="1"/>
  <c r="BI8" i="5" s="1"/>
  <c r="AW8" i="5"/>
  <c r="AX8" i="5" s="1"/>
  <c r="AS8" i="5"/>
  <c r="AT8" i="5" s="1"/>
  <c r="AM8" i="5"/>
  <c r="AN8" i="5" s="1"/>
  <c r="AO8" i="5" s="1"/>
  <c r="AJ8" i="5"/>
  <c r="AI8" i="5"/>
  <c r="AC8" i="5"/>
  <c r="AD8" i="5" s="1"/>
  <c r="Y8" i="5"/>
  <c r="Z8" i="5" s="1"/>
  <c r="AE8" i="5" s="1"/>
  <c r="T8" i="5"/>
  <c r="S8" i="5"/>
  <c r="O8" i="5"/>
  <c r="P8" i="5" s="1"/>
  <c r="U8" i="5" s="1"/>
  <c r="I8" i="5"/>
  <c r="J8" i="5" s="1"/>
  <c r="E8" i="5"/>
  <c r="F8" i="5" s="1"/>
  <c r="DQ7" i="5"/>
  <c r="DE7" i="5"/>
  <c r="DF7" i="5" s="1"/>
  <c r="DA7" i="5"/>
  <c r="DB7" i="5" s="1"/>
  <c r="CV7" i="5"/>
  <c r="CU7" i="5"/>
  <c r="CQ7" i="5"/>
  <c r="CR7" i="5" s="1"/>
  <c r="CK7" i="5"/>
  <c r="CL7" i="5" s="1"/>
  <c r="CG7" i="5"/>
  <c r="CH7" i="5" s="1"/>
  <c r="CA7" i="5"/>
  <c r="CB7" i="5" s="1"/>
  <c r="BX7" i="5"/>
  <c r="BW7" i="5"/>
  <c r="BQ7" i="5"/>
  <c r="BR7" i="5" s="1"/>
  <c r="BM7" i="5"/>
  <c r="BN7" i="5" s="1"/>
  <c r="BS7" i="5" s="1"/>
  <c r="BH7" i="5"/>
  <c r="BG7" i="5"/>
  <c r="BC7" i="5"/>
  <c r="BD7" i="5" s="1"/>
  <c r="BI7" i="5" s="1"/>
  <c r="AW7" i="5"/>
  <c r="AX7" i="5" s="1"/>
  <c r="AS7" i="5"/>
  <c r="AT7" i="5" s="1"/>
  <c r="AM7" i="5"/>
  <c r="AN7" i="5" s="1"/>
  <c r="AJ7" i="5"/>
  <c r="AI7" i="5"/>
  <c r="AC7" i="5"/>
  <c r="AD7" i="5" s="1"/>
  <c r="Y7" i="5"/>
  <c r="Z7" i="5" s="1"/>
  <c r="T7" i="5"/>
  <c r="S7" i="5"/>
  <c r="O7" i="5"/>
  <c r="P7" i="5" s="1"/>
  <c r="U7" i="5" s="1"/>
  <c r="I7" i="5"/>
  <c r="J7" i="5" s="1"/>
  <c r="E7" i="5"/>
  <c r="F7" i="5" s="1"/>
  <c r="DE6" i="5"/>
  <c r="DF6" i="5" s="1"/>
  <c r="DA6" i="5"/>
  <c r="DB6" i="5" s="1"/>
  <c r="DG6" i="5" s="1"/>
  <c r="CV6" i="5"/>
  <c r="CU6" i="5"/>
  <c r="CQ6" i="5"/>
  <c r="CR6" i="5" s="1"/>
  <c r="CK6" i="5"/>
  <c r="CL6" i="5" s="1"/>
  <c r="CG6" i="5"/>
  <c r="CH6" i="5" s="1"/>
  <c r="CA6" i="5"/>
  <c r="CB6" i="5" s="1"/>
  <c r="BX6" i="5"/>
  <c r="BW6" i="5"/>
  <c r="BQ6" i="5"/>
  <c r="BR6" i="5" s="1"/>
  <c r="BM6" i="5"/>
  <c r="BN6" i="5" s="1"/>
  <c r="BS6" i="5" s="1"/>
  <c r="BH6" i="5"/>
  <c r="BG6" i="5"/>
  <c r="BC6" i="5"/>
  <c r="BD6" i="5" s="1"/>
  <c r="AW6" i="5"/>
  <c r="AX6" i="5" s="1"/>
  <c r="AY6" i="5" s="1"/>
  <c r="AS6" i="5"/>
  <c r="AT6" i="5" s="1"/>
  <c r="AO6" i="5"/>
  <c r="AM6" i="5"/>
  <c r="AI6" i="5"/>
  <c r="AC6" i="5"/>
  <c r="AD6" i="5" s="1"/>
  <c r="Y6" i="5"/>
  <c r="Z6" i="5" s="1"/>
  <c r="AE6" i="5" s="1"/>
  <c r="T6" i="5"/>
  <c r="S6" i="5"/>
  <c r="O6" i="5"/>
  <c r="P6" i="5" s="1"/>
  <c r="J6" i="5"/>
  <c r="I6" i="5"/>
  <c r="E6" i="5"/>
  <c r="F6" i="5" s="1"/>
  <c r="DF5" i="5"/>
  <c r="DF46" i="5" s="1"/>
  <c r="DE5" i="5"/>
  <c r="DA5" i="5"/>
  <c r="DB5" i="5" s="1"/>
  <c r="CV5" i="5"/>
  <c r="CU5" i="5"/>
  <c r="CU46" i="5" s="1"/>
  <c r="CQ5" i="5"/>
  <c r="CK5" i="5"/>
  <c r="CL5" i="5" s="1"/>
  <c r="CL46" i="5" s="1"/>
  <c r="CH5" i="5"/>
  <c r="CG5" i="5"/>
  <c r="CA5" i="5"/>
  <c r="BW5" i="5"/>
  <c r="BR5" i="5"/>
  <c r="BQ5" i="5"/>
  <c r="BM5" i="5"/>
  <c r="BN5" i="5" s="1"/>
  <c r="BG5" i="5"/>
  <c r="BC5" i="5"/>
  <c r="AW5" i="5"/>
  <c r="AX5" i="5" s="1"/>
  <c r="AY5" i="5" s="1"/>
  <c r="AT5" i="5"/>
  <c r="AS5" i="5"/>
  <c r="AM5" i="5"/>
  <c r="AJ5" i="5"/>
  <c r="AO5" i="5" s="1"/>
  <c r="AI5" i="5"/>
  <c r="AC5" i="5"/>
  <c r="Y5" i="5"/>
  <c r="T5" i="5"/>
  <c r="S5" i="5"/>
  <c r="O5" i="5"/>
  <c r="O46" i="5" s="1"/>
  <c r="I5" i="5"/>
  <c r="E5" i="5"/>
  <c r="N43" i="4"/>
  <c r="M43" i="4"/>
  <c r="L43" i="4"/>
  <c r="K43" i="4"/>
  <c r="J43" i="4"/>
  <c r="I43" i="4"/>
  <c r="H43" i="4"/>
  <c r="G43" i="4"/>
  <c r="F43" i="4"/>
  <c r="E43" i="4"/>
  <c r="D43" i="4"/>
  <c r="C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B35" i="3"/>
  <c r="C34" i="3"/>
  <c r="C23" i="3"/>
  <c r="B17" i="3"/>
  <c r="C17" i="3" s="1"/>
  <c r="B13" i="3"/>
  <c r="C13" i="3" s="1"/>
  <c r="B22" i="2"/>
  <c r="C21" i="2"/>
  <c r="C20" i="2"/>
  <c r="C19" i="2"/>
  <c r="C82" i="1"/>
  <c r="B81" i="1"/>
  <c r="C81" i="1" s="1"/>
  <c r="C80" i="1"/>
  <c r="C79" i="1"/>
  <c r="C78" i="1"/>
  <c r="C77" i="1"/>
  <c r="B76" i="1"/>
  <c r="C76" i="1" s="1"/>
  <c r="B73" i="1"/>
  <c r="C73" i="1" s="1"/>
  <c r="C72" i="1"/>
  <c r="C71" i="1"/>
  <c r="C70" i="1"/>
  <c r="C69" i="1"/>
  <c r="B69" i="1"/>
  <c r="C68" i="1"/>
  <c r="B68" i="1"/>
  <c r="C67" i="1"/>
  <c r="B67" i="1"/>
  <c r="C66" i="1"/>
  <c r="B66" i="1"/>
  <c r="C65" i="1"/>
  <c r="C64" i="1"/>
  <c r="C60" i="1"/>
  <c r="B59" i="1"/>
  <c r="C59" i="1" s="1"/>
  <c r="B57" i="1"/>
  <c r="C57" i="1" s="1"/>
  <c r="C55" i="1"/>
  <c r="C54" i="1"/>
  <c r="C51" i="1"/>
  <c r="B51" i="1"/>
  <c r="B18" i="3" s="1"/>
  <c r="C18" i="3" s="1"/>
  <c r="C50" i="1"/>
  <c r="C49" i="1"/>
  <c r="C46" i="1"/>
  <c r="B46" i="1"/>
  <c r="B56" i="1" s="1"/>
  <c r="C45" i="1"/>
  <c r="C44" i="1"/>
  <c r="C43" i="1"/>
  <c r="B40" i="1"/>
  <c r="B16" i="3" s="1"/>
  <c r="C16" i="3" s="1"/>
  <c r="C39" i="1"/>
  <c r="C38" i="1"/>
  <c r="B35" i="1"/>
  <c r="C35" i="1" s="1"/>
  <c r="C34" i="1"/>
  <c r="C33" i="1"/>
  <c r="B30" i="1"/>
  <c r="C30" i="1" s="1"/>
  <c r="C29" i="1"/>
  <c r="C26" i="1"/>
  <c r="B26" i="1"/>
  <c r="C25" i="1"/>
  <c r="B22" i="1"/>
  <c r="B12" i="3" s="1"/>
  <c r="B21" i="1"/>
  <c r="C21" i="1" s="1"/>
  <c r="C20" i="1"/>
  <c r="C19" i="1"/>
  <c r="C18" i="1"/>
  <c r="C17" i="1"/>
  <c r="C16" i="1"/>
  <c r="DQ6" i="5" l="1"/>
  <c r="U11" i="5"/>
  <c r="AO11" i="5"/>
  <c r="BI11" i="5"/>
  <c r="BI12" i="5"/>
  <c r="P5" i="5"/>
  <c r="P46" i="5" s="1"/>
  <c r="CC10" i="5"/>
  <c r="AO12" i="5"/>
  <c r="CW14" i="5"/>
  <c r="AO15" i="5"/>
  <c r="CC16" i="5"/>
  <c r="DG16" i="5"/>
  <c r="DG19" i="5"/>
  <c r="DQ19" i="5"/>
  <c r="K20" i="5"/>
  <c r="AY20" i="5"/>
  <c r="AE23" i="5"/>
  <c r="AY23" i="5"/>
  <c r="BS23" i="5"/>
  <c r="DG23" i="5"/>
  <c r="AE27" i="5"/>
  <c r="DG27" i="5"/>
  <c r="AY33" i="5"/>
  <c r="BS33" i="5"/>
  <c r="AE35" i="5"/>
  <c r="CW36" i="5"/>
  <c r="BI38" i="5"/>
  <c r="BI39" i="5"/>
  <c r="DQ39" i="5"/>
  <c r="S46" i="5"/>
  <c r="AI46" i="5"/>
  <c r="AE7" i="5"/>
  <c r="K8" i="5"/>
  <c r="CM8" i="5"/>
  <c r="CC9" i="5"/>
  <c r="CW9" i="5"/>
  <c r="DQ9" i="5"/>
  <c r="AY11" i="5"/>
  <c r="U12" i="5"/>
  <c r="AE14" i="5"/>
  <c r="CC14" i="5"/>
  <c r="DG14" i="5"/>
  <c r="AE15" i="5"/>
  <c r="DG15" i="5"/>
  <c r="BS16" i="5"/>
  <c r="K18" i="5"/>
  <c r="AY18" i="5"/>
  <c r="BS18" i="5"/>
  <c r="DQ20" i="5"/>
  <c r="K21" i="5"/>
  <c r="CM21" i="5"/>
  <c r="AY22" i="5"/>
  <c r="K24" i="5"/>
  <c r="AE24" i="5"/>
  <c r="BS24" i="5"/>
  <c r="CM24" i="5"/>
  <c r="DG24" i="5"/>
  <c r="AE25" i="5"/>
  <c r="AY25" i="5"/>
  <c r="BS25" i="5"/>
  <c r="DG25" i="5"/>
  <c r="AE29" i="5"/>
  <c r="BS29" i="5"/>
  <c r="DG29" i="5"/>
  <c r="CM30" i="5"/>
  <c r="AO31" i="5"/>
  <c r="BI36" i="5"/>
  <c r="CC36" i="5"/>
  <c r="K37" i="5"/>
  <c r="CC43" i="5"/>
  <c r="CW43" i="5"/>
  <c r="U44" i="5"/>
  <c r="CC7" i="5"/>
  <c r="CW7" i="5"/>
  <c r="AJ46" i="5"/>
  <c r="AT46" i="5"/>
  <c r="CM6" i="5"/>
  <c r="K7" i="5"/>
  <c r="CC8" i="5"/>
  <c r="CW8" i="5"/>
  <c r="U10" i="5"/>
  <c r="BS10" i="5"/>
  <c r="CC13" i="5"/>
  <c r="CW13" i="5"/>
  <c r="DQ13" i="5"/>
  <c r="CC15" i="5"/>
  <c r="K19" i="5"/>
  <c r="AE19" i="5"/>
  <c r="K26" i="5"/>
  <c r="AE26" i="5"/>
  <c r="BS26" i="5"/>
  <c r="CM26" i="5"/>
  <c r="DG26" i="5"/>
  <c r="CM37" i="5"/>
  <c r="U41" i="5"/>
  <c r="U42" i="5"/>
  <c r="BI42" i="5"/>
  <c r="U15" i="5"/>
  <c r="U16" i="5"/>
  <c r="CC18" i="5"/>
  <c r="DQ18" i="5"/>
  <c r="CW19" i="5"/>
  <c r="AE28" i="5"/>
  <c r="AY28" i="5"/>
  <c r="BS28" i="5"/>
  <c r="DG28" i="5"/>
  <c r="DQ30" i="5"/>
  <c r="U31" i="5"/>
  <c r="CC32" i="5"/>
  <c r="CW32" i="5"/>
  <c r="AE33" i="5"/>
  <c r="AE34" i="5"/>
  <c r="BI34" i="5"/>
  <c r="CC34" i="5"/>
  <c r="DG34" i="5"/>
  <c r="K35" i="5"/>
  <c r="AY35" i="5"/>
  <c r="BS35" i="5"/>
  <c r="AY37" i="5"/>
  <c r="BS37" i="5"/>
  <c r="BS38" i="5"/>
  <c r="DG38" i="5"/>
  <c r="DG40" i="5"/>
  <c r="CC42" i="5"/>
  <c r="AO44" i="5"/>
  <c r="CW45" i="5"/>
  <c r="BI17" i="5"/>
  <c r="U18" i="5"/>
  <c r="BI18" i="5"/>
  <c r="AO19" i="5"/>
  <c r="CC19" i="5"/>
  <c r="U20" i="5"/>
  <c r="CC20" i="5"/>
  <c r="DQ21" i="5"/>
  <c r="DQ25" i="5"/>
  <c r="AY27" i="5"/>
  <c r="CW27" i="5"/>
  <c r="K29" i="5"/>
  <c r="CM29" i="5"/>
  <c r="DQ29" i="5"/>
  <c r="K30" i="5"/>
  <c r="DG30" i="5"/>
  <c r="K31" i="5"/>
  <c r="DG31" i="5"/>
  <c r="CC33" i="5"/>
  <c r="U34" i="5"/>
  <c r="BS34" i="5"/>
  <c r="CM35" i="5"/>
  <c r="CW37" i="5"/>
  <c r="DQ37" i="5"/>
  <c r="U38" i="5"/>
  <c r="CM39" i="5"/>
  <c r="CW39" i="5"/>
  <c r="BS41" i="5"/>
  <c r="DQ42" i="5"/>
  <c r="AY44" i="5"/>
  <c r="CC45" i="5"/>
  <c r="DG45" i="5"/>
  <c r="AO27" i="5"/>
  <c r="CC28" i="5"/>
  <c r="DQ28" i="5"/>
  <c r="CW29" i="5"/>
  <c r="U30" i="5"/>
  <c r="BI30" i="5"/>
  <c r="AE31" i="5"/>
  <c r="AY31" i="5"/>
  <c r="CC31" i="5"/>
  <c r="DQ31" i="5"/>
  <c r="AE32" i="5"/>
  <c r="AY32" i="5"/>
  <c r="BS32" i="5"/>
  <c r="DG32" i="5"/>
  <c r="CC35" i="5"/>
  <c r="CW35" i="5"/>
  <c r="DQ35" i="5"/>
  <c r="AE36" i="5"/>
  <c r="AY36" i="5"/>
  <c r="BS36" i="5"/>
  <c r="DG36" i="5"/>
  <c r="K38" i="5"/>
  <c r="AE39" i="5"/>
  <c r="AY40" i="5"/>
  <c r="CM40" i="5"/>
  <c r="CM41" i="5"/>
  <c r="AY42" i="5"/>
  <c r="AE43" i="5"/>
  <c r="BS43" i="5"/>
  <c r="DG43" i="5"/>
  <c r="K45" i="5"/>
  <c r="CM45" i="5"/>
  <c r="C56" i="1"/>
  <c r="C12" i="3"/>
  <c r="BG46" i="5"/>
  <c r="BH5" i="5"/>
  <c r="BH46" i="5" s="1"/>
  <c r="U6" i="5"/>
  <c r="CC6" i="5"/>
  <c r="C22" i="1"/>
  <c r="B58" i="1"/>
  <c r="C58" i="1" s="1"/>
  <c r="B14" i="3"/>
  <c r="C14" i="3" s="1"/>
  <c r="O43" i="4"/>
  <c r="E46" i="5"/>
  <c r="F5" i="5"/>
  <c r="U5" i="5"/>
  <c r="AC46" i="5"/>
  <c r="AD5" i="5"/>
  <c r="AD46" i="5" s="1"/>
  <c r="BR46" i="5"/>
  <c r="CQ46" i="5"/>
  <c r="CR5" i="5"/>
  <c r="BI6" i="5"/>
  <c r="CW6" i="5"/>
  <c r="AY7" i="5"/>
  <c r="CM7" i="5"/>
  <c r="AY8" i="5"/>
  <c r="DQ8" i="5"/>
  <c r="AE9" i="5"/>
  <c r="BS9" i="5"/>
  <c r="DG9" i="5"/>
  <c r="K11" i="5"/>
  <c r="CM11" i="5"/>
  <c r="AY12" i="5"/>
  <c r="DQ12" i="5"/>
  <c r="AE13" i="5"/>
  <c r="BS13" i="5"/>
  <c r="DG13" i="5"/>
  <c r="K15" i="5"/>
  <c r="CW16" i="5"/>
  <c r="B36" i="3"/>
  <c r="C36" i="3" s="1"/>
  <c r="C22" i="2"/>
  <c r="I46" i="5"/>
  <c r="J5" i="5"/>
  <c r="J46" i="5" s="1"/>
  <c r="DB46" i="5"/>
  <c r="DG5" i="5"/>
  <c r="B15" i="3"/>
  <c r="C15" i="3" s="1"/>
  <c r="BW46" i="5"/>
  <c r="BX5" i="5"/>
  <c r="CH46" i="5"/>
  <c r="CM5" i="5"/>
  <c r="C40" i="1"/>
  <c r="C37" i="3"/>
  <c r="T46" i="5"/>
  <c r="BC46" i="5"/>
  <c r="BD5" i="5"/>
  <c r="BN46" i="5"/>
  <c r="BS5" i="5"/>
  <c r="CA46" i="5"/>
  <c r="CB5" i="5"/>
  <c r="CB46" i="5" s="1"/>
  <c r="AN46" i="5"/>
  <c r="AO7" i="5"/>
  <c r="DG7" i="5"/>
  <c r="K9" i="5"/>
  <c r="CM9" i="5"/>
  <c r="AY10" i="5"/>
  <c r="DQ10" i="5"/>
  <c r="AE11" i="5"/>
  <c r="BS11" i="5"/>
  <c r="DG11" i="5"/>
  <c r="K13" i="5"/>
  <c r="CM13" i="5"/>
  <c r="AY14" i="5"/>
  <c r="DQ14" i="5"/>
  <c r="Y46" i="5"/>
  <c r="Z5" i="5"/>
  <c r="AS46" i="5"/>
  <c r="BQ46" i="5"/>
  <c r="CG46" i="5"/>
  <c r="CV46" i="5"/>
  <c r="DE46" i="5"/>
  <c r="CM15" i="5"/>
  <c r="K16" i="5"/>
  <c r="BI20" i="5"/>
  <c r="CC21" i="5"/>
  <c r="CW22" i="5"/>
  <c r="U23" i="5"/>
  <c r="BI23" i="5"/>
  <c r="AO24" i="5"/>
  <c r="CC25" i="5"/>
  <c r="CW26" i="5"/>
  <c r="U27" i="5"/>
  <c r="BI27" i="5"/>
  <c r="AO28" i="5"/>
  <c r="CC29" i="5"/>
  <c r="CW30" i="5"/>
  <c r="AY15" i="5"/>
  <c r="AE17" i="5"/>
  <c r="DG17" i="5"/>
  <c r="BS19" i="5"/>
  <c r="DQ22" i="5"/>
  <c r="DQ26" i="5"/>
  <c r="AM46" i="5"/>
  <c r="AW46" i="5"/>
  <c r="BM46" i="5"/>
  <c r="CK46" i="5"/>
  <c r="DA46" i="5"/>
  <c r="CM16" i="5"/>
  <c r="K17" i="5"/>
  <c r="AY17" i="5"/>
  <c r="CM17" i="5"/>
  <c r="AE18" i="5"/>
  <c r="DG18" i="5"/>
  <c r="CM20" i="5"/>
  <c r="CW20" i="5"/>
  <c r="U21" i="5"/>
  <c r="BI21" i="5"/>
  <c r="AO22" i="5"/>
  <c r="CC23" i="5"/>
  <c r="DQ23" i="5"/>
  <c r="CW24" i="5"/>
  <c r="U25" i="5"/>
  <c r="BI25" i="5"/>
  <c r="AO26" i="5"/>
  <c r="CC27" i="5"/>
  <c r="DQ27" i="5"/>
  <c r="CW28" i="5"/>
  <c r="U29" i="5"/>
  <c r="BI29" i="5"/>
  <c r="AO30" i="5"/>
  <c r="BI31" i="5"/>
  <c r="AO32" i="5"/>
  <c r="U33" i="5"/>
  <c r="BI33" i="5"/>
  <c r="K34" i="5"/>
  <c r="CM34" i="5"/>
  <c r="DQ34" i="5"/>
  <c r="AO36" i="5"/>
  <c r="U37" i="5"/>
  <c r="BI37" i="5"/>
  <c r="AO35" i="5"/>
  <c r="CM31" i="5"/>
  <c r="CW31" i="5"/>
  <c r="K32" i="5"/>
  <c r="CM32" i="5"/>
  <c r="DQ32" i="5"/>
  <c r="U35" i="5"/>
  <c r="BI35" i="5"/>
  <c r="K36" i="5"/>
  <c r="CM36" i="5"/>
  <c r="DQ36" i="5"/>
  <c r="AO33" i="5"/>
  <c r="AO37" i="5"/>
  <c r="DQ38" i="5"/>
  <c r="U39" i="5"/>
  <c r="AO40" i="5"/>
  <c r="CC40" i="5"/>
  <c r="BI41" i="5"/>
  <c r="DQ41" i="5"/>
  <c r="AE42" i="5"/>
  <c r="BS42" i="5"/>
  <c r="DG42" i="5"/>
  <c r="K44" i="5"/>
  <c r="CM44" i="5"/>
  <c r="AY45" i="5"/>
  <c r="AO39" i="5"/>
  <c r="CC39" i="5"/>
  <c r="BI40" i="5"/>
  <c r="CW40" i="5"/>
  <c r="DG41" i="5"/>
  <c r="K43" i="5"/>
  <c r="CM43" i="5"/>
  <c r="DQ44" i="5"/>
  <c r="DQ40" i="5"/>
  <c r="K42" i="5"/>
  <c r="DQ45" i="5"/>
  <c r="AY46" i="5" l="1"/>
  <c r="BD46" i="5"/>
  <c r="BI5" i="5"/>
  <c r="BI46" i="5" s="1"/>
  <c r="CR46" i="5"/>
  <c r="CW5" i="5"/>
  <c r="CW46" i="5" s="1"/>
  <c r="B61" i="1"/>
  <c r="BX46" i="5"/>
  <c r="CC5" i="5"/>
  <c r="CC46" i="5" s="1"/>
  <c r="AO46" i="5"/>
  <c r="F46" i="5"/>
  <c r="K5" i="5"/>
  <c r="B37" i="3"/>
  <c r="B24" i="3" s="1"/>
  <c r="B25" i="3" s="1"/>
  <c r="C24" i="3"/>
  <c r="C39" i="3"/>
  <c r="CM46" i="5"/>
  <c r="DG46" i="5"/>
  <c r="U46" i="5"/>
  <c r="Z46" i="5"/>
  <c r="AE5" i="5"/>
  <c r="AE46" i="5" s="1"/>
  <c r="BS46" i="5"/>
  <c r="DQ5" i="5"/>
  <c r="DQ46" i="5" s="1"/>
  <c r="B39" i="3"/>
  <c r="C25" i="3" l="1"/>
  <c r="B84" i="1"/>
  <c r="C84" i="1" s="1"/>
  <c r="C61" i="1"/>
  <c r="B19" i="3"/>
  <c r="K46" i="5"/>
  <c r="C19" i="3" l="1"/>
  <c r="C20" i="3" s="1"/>
  <c r="C28" i="3" s="1"/>
  <c r="B20" i="3"/>
  <c r="B28" i="3" s="1"/>
</calcChain>
</file>

<file path=xl/sharedStrings.xml><?xml version="1.0" encoding="utf-8"?>
<sst xmlns="http://schemas.openxmlformats.org/spreadsheetml/2006/main" count="551" uniqueCount="236">
  <si>
    <t>Приложение №5</t>
  </si>
  <si>
    <t>Приложение №8</t>
  </si>
  <si>
    <t>Приложение №6</t>
  </si>
  <si>
    <t>к протоколу общего собрания</t>
  </si>
  <si>
    <t>членов ДНТ "Колокольцево"</t>
  </si>
  <si>
    <t>от 17.01.2019</t>
  </si>
  <si>
    <t>ФИНАНСОВО-ЭКОНОМИЧЕСКОЕ ОБОСНОВАНИЕ</t>
  </si>
  <si>
    <t>РАЗМЕР И СРОКИ ВНЕСЕНИЯ ВЗНОСОВ, ПОРЯДОК РАСХОДОВАНИЯ ЦЕЛЕВЫХ</t>
  </si>
  <si>
    <t>РАЗМЕРА ВЗНОСОВ И РАЗМЕРА ПЛАТЫ, ПРЕДУСМОТРЕННОЙ</t>
  </si>
  <si>
    <t>ПРИХОДНО-РАСХОДНАЯ СМЕТА НА 2019 ГОД</t>
  </si>
  <si>
    <t>ВЗНОСОВ, РАЗМЕР И СРОКИ ВНЕСЕНИЯ ПЛАТЫ, ПРЕДУСМОТРЕННОЙ</t>
  </si>
  <si>
    <t>ЗАКОНОМ И УСТАВОМ ДЛЯ ЛИЦ, ОСУЩЕСТВЛЯЮЩИХ ВЕДЕНИЕ САДОВОДСТВА</t>
  </si>
  <si>
    <t>НА САДОВЫХ ЗЕМЕЛЬНЫХ УЧАСТКАХ, РАСПОЛОЖЕННЫХ В ГРАНИЦАХ</t>
  </si>
  <si>
    <t>РАСХОДЫ</t>
  </si>
  <si>
    <t>ТЕРРИТОРИИ САДОВОДСТВА, БЕЗ УЧАСТИЯ В ТОВАРИЩЕСТВЕ</t>
  </si>
  <si>
    <t>(ИНДИВИДУАЛЬНЫХ САДОВОДОВ)</t>
  </si>
  <si>
    <t>НА 2019 ГОД</t>
  </si>
  <si>
    <t>В месяц</t>
  </si>
  <si>
    <t>2019 ГОД</t>
  </si>
  <si>
    <t>В год</t>
  </si>
  <si>
    <t>СОДЕРЖАНИЕ ИМУЩЕСТВА ОБЩЕГО ПОЛЬЗОВАНИЯ</t>
  </si>
  <si>
    <t xml:space="preserve">РАЗМЕР ЕЖЕМЕСЯЧНЫХ ВЗНОСОВ ЧЛЕНОВ ТОВАРИЩЕСТВА И </t>
  </si>
  <si>
    <t>ЧЛЕНСКИЕ ВЗНОСЫ</t>
  </si>
  <si>
    <t>В МЕСЯЦ</t>
  </si>
  <si>
    <t>В ГОД</t>
  </si>
  <si>
    <t>РАЗМЕР ПЛАТЫ ИНДИВИДУАЛЬНЫХ САДОВОДОВ</t>
  </si>
  <si>
    <t>Содержание имущества общего пользования</t>
  </si>
  <si>
    <t>Содержание сайта</t>
  </si>
  <si>
    <t>Участки-1 (12 и менее соток) - 22 участка</t>
  </si>
  <si>
    <t xml:space="preserve"> </t>
  </si>
  <si>
    <t>Участки-1,5 (18 соток) - 4 участка</t>
  </si>
  <si>
    <t>Участки-2 (24 сотки) - 14 участков</t>
  </si>
  <si>
    <t>Всего - 40 участков</t>
  </si>
  <si>
    <t>Расчеты с электроснабжающей организацией (в части МОП)</t>
  </si>
  <si>
    <t>Содержание расчетного счета</t>
  </si>
  <si>
    <t>Содержание электрохозяйства</t>
  </si>
  <si>
    <t>Содержание сторожевой собаки</t>
  </si>
  <si>
    <t>Содержание насосной станции</t>
  </si>
  <si>
    <t>Содержание дочернего ООО "ЛЕТО"</t>
  </si>
  <si>
    <t>Расчеты с оператором по обращению с ТКО</t>
  </si>
  <si>
    <t>1. Целевые взносы на 2019 год не предусматриваются.</t>
  </si>
  <si>
    <t>ИТОГО</t>
  </si>
  <si>
    <t>2. Сроки внесения ежемесячных взносов и платы индивидуальных садоводов</t>
  </si>
  <si>
    <t>устанавливаются в соответствии с уставом.</t>
  </si>
  <si>
    <t>Благоустройство земельного участка общего назначения</t>
  </si>
  <si>
    <t>РАСЧЕТЫ С ЭЛЕКТРОСНАБЖАЮЩЕЙ ОРГАНИЗАЦИЕЙ</t>
  </si>
  <si>
    <t>Электроснабжение мест общего пользования</t>
  </si>
  <si>
    <t>Охрана территории товарищества и обеспечение пожарной безопасности</t>
  </si>
  <si>
    <t>Выплата заработной платы работникам товарищества</t>
  </si>
  <si>
    <t>РАСЧЕТЫ С ОПЕРАТОРОМ ПО ОБРАЩЕНИЮ С ТКО</t>
  </si>
  <si>
    <t>Организация и проведение общих собраний</t>
  </si>
  <si>
    <t>Расчеты с оператом по обращению с ТКО</t>
  </si>
  <si>
    <t>Уплата налогов и сборов</t>
  </si>
  <si>
    <t>ВСЕГО</t>
  </si>
  <si>
    <t>БЛАГОУСТРОЙСТВО ЗУ ОБЩЕГО НАЗНАЧЕНИЯ</t>
  </si>
  <si>
    <t>Снегоуборочные работы</t>
  </si>
  <si>
    <t>Грейдирование и подсыпка дорог</t>
  </si>
  <si>
    <t>ЦЕЛЕВЫЕ ВЗНОСЫ</t>
  </si>
  <si>
    <t>ОХРАНА И ПОЖАРНАЯ БЕЗОПАСНОСТЬ</t>
  </si>
  <si>
    <t>Охрана</t>
  </si>
  <si>
    <t>Приобретение имущества общего пользования</t>
  </si>
  <si>
    <t>Связь охраны</t>
  </si>
  <si>
    <t>Реализация мероприятий, предусмотренных решением общего собрания</t>
  </si>
  <si>
    <t>ЗАРАБОТНАЯ ПЛАТА РАБОТНИКОВ (В Т.Ч.НДФЛ)</t>
  </si>
  <si>
    <t>Председатель</t>
  </si>
  <si>
    <t>Главный бухгалтер</t>
  </si>
  <si>
    <t>Управляющий</t>
  </si>
  <si>
    <t>РАСХОДЫ ИТОГОВЫЕ НА 2019 ГОД</t>
  </si>
  <si>
    <t>ОРГАНИЗАЦИЯ И ПРОВЕДЕНИЕ ОБЩИХ СОБРАНИЙ</t>
  </si>
  <si>
    <t>Аренда зала</t>
  </si>
  <si>
    <t>ДОХОДЫ</t>
  </si>
  <si>
    <t>Копировальные работы</t>
  </si>
  <si>
    <t>Переходящий остаток средств на 2019 год (кроме целевых)</t>
  </si>
  <si>
    <t>УПЛАТА НАЛОГОВ И СБОРОВ</t>
  </si>
  <si>
    <t>Земельный налог</t>
  </si>
  <si>
    <t>УСН</t>
  </si>
  <si>
    <t>Взносы в ПФР России</t>
  </si>
  <si>
    <t>Взносы в ФСС России</t>
  </si>
  <si>
    <t>Реализация услуг в 2019 году</t>
  </si>
  <si>
    <t>Взносы в ФСС России от НС</t>
  </si>
  <si>
    <t>Взносы в ФОМС России</t>
  </si>
  <si>
    <t>Прочее (ЭЦП, нотариат)</t>
  </si>
  <si>
    <t>Ежемесячные взносы на 2019 год</t>
  </si>
  <si>
    <t>СОДЕРЖАНИЕ ДОЧЕРНЕГО ООО "ЛЕТО"</t>
  </si>
  <si>
    <t>Переходящий остаток средств целевого финансирования на 2019 год</t>
  </si>
  <si>
    <t>Арендная плата</t>
  </si>
  <si>
    <t>Зарплата главного бухгалтера (в т.ч.НДФЛ)</t>
  </si>
  <si>
    <t>Целевые взносы  на 2019 год</t>
  </si>
  <si>
    <t>РКО</t>
  </si>
  <si>
    <t>Инвентарь</t>
  </si>
  <si>
    <r>
      <rPr>
        <b/>
        <sz val="10"/>
        <rFont val="Arimo"/>
      </rPr>
      <t xml:space="preserve">Примечание 1: </t>
    </r>
    <r>
      <rPr>
        <sz val="10"/>
        <color rgb="FF000000"/>
        <rFont val="Arimo"/>
      </rPr>
      <t>расчеты с электроснабжающей организацией в части индивидуального потребления</t>
    </r>
  </si>
  <si>
    <t>РЕАЛИЗАЦИЯ МЕРОПРИЯТИЙ ПО РЕШЕНИЮ ОС</t>
  </si>
  <si>
    <t>электроэнергии (ИПЭ), а также ежемесячные платежи за индивидуальное потребление электроэнергии</t>
  </si>
  <si>
    <t>Развитие инфраструктуры водопотребления и водоотведения</t>
  </si>
  <si>
    <t xml:space="preserve">(ИПЭ) осуществляется по государственным регулируемым тарифам исходя из фактических </t>
  </si>
  <si>
    <t>Развитие инфраструктуры лесного хозяйства</t>
  </si>
  <si>
    <t>показаний приборов учета потребления электроэнергии.</t>
  </si>
  <si>
    <t>Развитие инфраструктуры внутриобъектового режима</t>
  </si>
  <si>
    <r>
      <rPr>
        <b/>
        <sz val="10"/>
        <rFont val="Arimo"/>
      </rPr>
      <t>Примечание 2:</t>
    </r>
    <r>
      <rPr>
        <sz val="10"/>
        <color rgb="FF000000"/>
        <rFont val="Arimo"/>
      </rPr>
      <t xml:space="preserve"> ответственным должностным лицом товарищества за обеспечение мероприятий, </t>
    </r>
  </si>
  <si>
    <t>предусмотренных приходно-расходной сметой на 2019 год, является управляющий.</t>
  </si>
  <si>
    <t>Развитие дорожной инфраструктуры</t>
  </si>
  <si>
    <t>Развитие инфраструктуры электрохозяйства</t>
  </si>
  <si>
    <t>Резерв</t>
  </si>
  <si>
    <r>
      <rPr>
        <b/>
        <sz val="10"/>
        <rFont val="Arimo"/>
      </rPr>
      <t>Примечание 3:</t>
    </r>
    <r>
      <rPr>
        <sz val="10"/>
        <color rgb="FF000000"/>
        <rFont val="Arimo"/>
      </rPr>
      <t xml:space="preserve"> в случае непринятия приходно-расходной сметы на 2020 год и следующие годы,</t>
    </r>
  </si>
  <si>
    <t>приходно-расходная смета на 2019 год применяется к соответствующему году до принятия</t>
  </si>
  <si>
    <t>приходно-расходной сметы на соответствующий год.</t>
  </si>
  <si>
    <r>
      <rPr>
        <b/>
        <sz val="10"/>
        <rFont val="Arimo"/>
      </rPr>
      <t>Примечание 4:</t>
    </r>
    <r>
      <rPr>
        <sz val="10"/>
        <color rgb="FF000000"/>
        <rFont val="Arimo"/>
      </rPr>
      <t xml:space="preserve"> правление при исполнении приходно-расходной сметы вправе принимать решения</t>
    </r>
  </si>
  <si>
    <t>о перенаправлении средств между разными строками расходов в пределах общего размера</t>
  </si>
  <si>
    <t>расходов, предусмотренных приходно-расходной сметой на год.</t>
  </si>
  <si>
    <r>
      <rPr>
        <b/>
        <sz val="10"/>
        <rFont val="Arimo"/>
      </rPr>
      <t>Примечание 5:</t>
    </r>
    <r>
      <rPr>
        <sz val="10"/>
        <color rgb="FF000000"/>
        <rFont val="Arimo"/>
      </rPr>
      <t xml:space="preserve"> процентные доходы от размещения на депозите временно свободных средств</t>
    </r>
  </si>
  <si>
    <t>фонда целевого финансирования на развитие инфраструктуры за вычетом применимых налогов</t>
  </si>
  <si>
    <t>правление вправе направлять на дополнительное финансирование развития инфраструктуры.</t>
  </si>
  <si>
    <t>ВСЕГО РАСХОДОВ</t>
  </si>
  <si>
    <r>
      <rPr>
        <b/>
        <sz val="10"/>
        <rFont val="Arimo"/>
      </rPr>
      <t>Примечание 6:</t>
    </r>
    <r>
      <rPr>
        <sz val="10"/>
        <color rgb="FF000000"/>
        <rFont val="Arimo"/>
      </rPr>
      <t xml:space="preserve"> пени за просрочку платежей и не предусмотренные приходно-расходной сметой</t>
    </r>
  </si>
  <si>
    <t>дополнительные доходы от реализации услуг в 2019 году за вычетом применимых налогов</t>
  </si>
  <si>
    <t>правление вправе направлять на пополнение оборотных средств.</t>
  </si>
  <si>
    <t>N участка</t>
  </si>
  <si>
    <t>Собственник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</si>
  <si>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</si>
  <si>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</si>
  <si>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</si>
  <si>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</si>
  <si>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</si>
  <si>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</si>
  <si>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</si>
  <si>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</si>
  <si>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</si>
  <si>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</si>
  <si>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</si>
  <si>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</si>
  <si>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</si>
  <si>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1-2</t>
  </si>
  <si>
    <t>Фомина Зинаида Алексеевна</t>
  </si>
  <si>
    <t>3-4</t>
  </si>
  <si>
    <t>Январь 31.01.2019</t>
  </si>
  <si>
    <t>Февраль 28.02.2019</t>
  </si>
  <si>
    <t>Март 29.03.2019</t>
  </si>
  <si>
    <t>Апрель 29.04.2019</t>
  </si>
  <si>
    <t>Май 30.05.2019</t>
  </si>
  <si>
    <t>Июнь 30.06.2019</t>
  </si>
  <si>
    <t>5-6</t>
  </si>
  <si>
    <t>Горишняков Сергей Александрович</t>
  </si>
  <si>
    <t>Июль 30.07.2019</t>
  </si>
  <si>
    <t>7-8</t>
  </si>
  <si>
    <t>Ключарева Светлана Викторовна</t>
  </si>
  <si>
    <t xml:space="preserve">Август 31.08.2019 </t>
  </si>
  <si>
    <t>Сентябрь 31.09.2019</t>
  </si>
  <si>
    <t>9-10</t>
  </si>
  <si>
    <t>Архипов Глеб Владимирович</t>
  </si>
  <si>
    <t>Октябрь 31.10.2019</t>
  </si>
  <si>
    <t>11-12</t>
  </si>
  <si>
    <t>Молдованов Андрей Владимирович</t>
  </si>
  <si>
    <t>13-14</t>
  </si>
  <si>
    <t>Ветров Геннадий Иванович</t>
  </si>
  <si>
    <t>15</t>
  </si>
  <si>
    <t>Перепелкин Владислав Александрович</t>
  </si>
  <si>
    <t>16</t>
  </si>
  <si>
    <t>Добровольская Наталья Вячеславовна</t>
  </si>
  <si>
    <t>Т1</t>
  </si>
  <si>
    <t xml:space="preserve">  </t>
  </si>
  <si>
    <t>17</t>
  </si>
  <si>
    <t>Васильева Алина Владимировна</t>
  </si>
  <si>
    <t>18-20</t>
  </si>
  <si>
    <t>Жукова Лариса Юрьевна</t>
  </si>
  <si>
    <t>Т2</t>
  </si>
  <si>
    <t>19-21</t>
  </si>
  <si>
    <t>Назаров Владимир Владимирович</t>
  </si>
  <si>
    <t>22</t>
  </si>
  <si>
    <t>Жуков Валерий Викторович</t>
  </si>
  <si>
    <t>23</t>
  </si>
  <si>
    <t>Подлесных Мария Владимировна</t>
  </si>
  <si>
    <t>24-25</t>
  </si>
  <si>
    <t>Сопрачев Константин Александрович</t>
  </si>
  <si>
    <t>26</t>
  </si>
  <si>
    <t>Овчаров Андрей Владимирович</t>
  </si>
  <si>
    <t>27-28</t>
  </si>
  <si>
    <t>Марков Кирилл Сергеевич</t>
  </si>
  <si>
    <t>29</t>
  </si>
  <si>
    <t>Волошин Сергей Владимирович</t>
  </si>
  <si>
    <t>30-31</t>
  </si>
  <si>
    <t>Ясинская Анастасия Юрьевна</t>
  </si>
  <si>
    <t>32</t>
  </si>
  <si>
    <t>Латышева Алина Валерьевна</t>
  </si>
  <si>
    <t>33</t>
  </si>
  <si>
    <t>Алещенко Любовь Николаевна</t>
  </si>
  <si>
    <t>34</t>
  </si>
  <si>
    <t>Анишенков Александр Юрьевич</t>
  </si>
  <si>
    <t>35</t>
  </si>
  <si>
    <t>Козлова Анна Дмитриевна</t>
  </si>
  <si>
    <t>36-37</t>
  </si>
  <si>
    <t>Белов Сергей Анатольевич</t>
  </si>
  <si>
    <t>38(*)</t>
  </si>
  <si>
    <t>Сантти Роман Рафаэльевич</t>
  </si>
  <si>
    <t>Тариф</t>
  </si>
  <si>
    <t>Показания</t>
  </si>
  <si>
    <t>Расход</t>
  </si>
  <si>
    <t>Цена</t>
  </si>
  <si>
    <t>40(*)</t>
  </si>
  <si>
    <t>Фатеев Павел Александрович</t>
  </si>
  <si>
    <t>41</t>
  </si>
  <si>
    <t>Осипов Андрей Анатольевич</t>
  </si>
  <si>
    <t>Платеж</t>
  </si>
  <si>
    <t>42</t>
  </si>
  <si>
    <t>Акулов Андрей Аркадьевич</t>
  </si>
  <si>
    <t>43</t>
  </si>
  <si>
    <t>44</t>
  </si>
  <si>
    <t>Ганаков Владимир Анатольевич</t>
  </si>
  <si>
    <t>45</t>
  </si>
  <si>
    <t>Кузьменко Татьяна Никитична</t>
  </si>
  <si>
    <t>46</t>
  </si>
  <si>
    <t>Дементьева Ольга Сергеевна</t>
  </si>
  <si>
    <t>47</t>
  </si>
  <si>
    <t>Соколов Владимир Борисович</t>
  </si>
  <si>
    <t>48-49</t>
  </si>
  <si>
    <t>Соколова Елена Николаевна</t>
  </si>
  <si>
    <t>Начислено</t>
  </si>
  <si>
    <t>50</t>
  </si>
  <si>
    <t>Плеханов Игорь Альфредович</t>
  </si>
  <si>
    <t>51(*)</t>
  </si>
  <si>
    <t>Караваев Александр Владимирович</t>
  </si>
  <si>
    <t>Оплачено</t>
  </si>
  <si>
    <t>53(*)</t>
  </si>
  <si>
    <t>Сальвук Светлана Юлиановна</t>
  </si>
  <si>
    <t>ДОЛГ</t>
  </si>
  <si>
    <t>54</t>
  </si>
  <si>
    <t>55</t>
  </si>
  <si>
    <t>Васильев Игорь Олегович</t>
  </si>
  <si>
    <t>56</t>
  </si>
  <si>
    <t>Сычев Михаил Викторович</t>
  </si>
  <si>
    <t>27</t>
  </si>
  <si>
    <t>28</t>
  </si>
  <si>
    <t>38</t>
  </si>
  <si>
    <t>40</t>
  </si>
  <si>
    <t>51</t>
  </si>
  <si>
    <t>53</t>
  </si>
  <si>
    <t>Ноябрь 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</si>
</sst>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[$р.-419]#,##0"/>
    <numFmt numFmtId="166" formatCode="#,##0.00&quot;р.&quot;"/>
  </numFmts>
  <fonts count="12">
    <font>
      <sz val="10"/>
      <color rgb="FF000000"/>
      <name val="Arimo"/>
    </font>
    <font>
      <sz val="11"/>
      <name val="Arial"/>
    </font>
    <font>
      <b/>
      <sz val="14"/>
      <name val="Arial"/>
    </font>
    <font>
      <sz val="10"/>
      <name val="Arimo"/>
    </font>
    <font>
      <b/>
      <sz val="10"/>
      <name val="Arial"/>
    </font>
    <font>
      <sz val="10"/>
      <name val="Arial"/>
    </font>
    <font>
      <b/>
      <sz val="10"/>
      <name val="Arimo"/>
    </font>
    <font>
      <sz val="10"/>
      <name val="Arimo"/>
    </font>
    <font>
      <b/>
      <sz val="10"/>
      <name val="Arimo"/>
    </font>
    <font>
      <b/>
      <sz val="10"/>
      <color rgb="FF000000"/>
      <name val="Arimo"/>
    </font>
    <font>
      <sz val="10"/>
      <color rgb="FF000000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99FFCC"/>
        <bgColor rgb="FFFFFF00"/>
      </patternFill>
    </fill>
    <fill>
      <patternFill patternType="solid">
        <fgColor rgb="FF99FFCC"/>
        <bgColor rgb="FFFF0000"/>
      </patternFill>
    </fill>
    <fill>
      <patternFill patternType="solid">
        <fgColor rgb="FF99FFCC"/>
        <bgColor rgb="FFFFD966"/>
      </patternFill>
    </fill>
    <fill>
      <patternFill patternType="solid">
        <fgColor rgb="FF99FFCC"/>
        <bgColor rgb="FFCCFFFF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0" fontId="4" fillId="0" borderId="7" xfId="0" applyFont="1" applyBorder="1" applyAlignment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9" fillId="0" borderId="12" xfId="0" applyFont="1" applyBorder="1" applyAlignment="1"/>
    <xf numFmtId="0" fontId="0" fillId="0" borderId="13" xfId="0" applyFont="1" applyBorder="1" applyAlignment="1"/>
    <xf numFmtId="0" fontId="9" fillId="0" borderId="12" xfId="0" applyFont="1" applyBorder="1" applyAlignment="1">
      <alignment horizontal="center"/>
    </xf>
    <xf numFmtId="0" fontId="5" fillId="0" borderId="14" xfId="0" applyFont="1" applyBorder="1" applyAlignment="1"/>
    <xf numFmtId="164" fontId="5" fillId="0" borderId="15" xfId="0" applyNumberFormat="1" applyFont="1" applyBorder="1" applyAlignment="1"/>
    <xf numFmtId="0" fontId="0" fillId="0" borderId="12" xfId="0" applyFont="1" applyBorder="1" applyAlignment="1"/>
    <xf numFmtId="165" fontId="0" fillId="0" borderId="12" xfId="0" applyNumberFormat="1" applyFont="1" applyBorder="1" applyAlignment="1"/>
    <xf numFmtId="164" fontId="5" fillId="0" borderId="16" xfId="0" applyNumberFormat="1" applyFont="1" applyBorder="1" applyAlignment="1"/>
    <xf numFmtId="164" fontId="5" fillId="0" borderId="6" xfId="0" applyNumberFormat="1" applyFont="1" applyBorder="1" applyAlignment="1"/>
    <xf numFmtId="164" fontId="5" fillId="0" borderId="0" xfId="0" applyNumberFormat="1" applyFont="1" applyAlignment="1"/>
    <xf numFmtId="0" fontId="9" fillId="0" borderId="12" xfId="0" applyFont="1" applyBorder="1" applyAlignment="1"/>
    <xf numFmtId="164" fontId="5" fillId="0" borderId="17" xfId="0" applyNumberFormat="1" applyFont="1" applyBorder="1" applyAlignment="1"/>
    <xf numFmtId="165" fontId="9" fillId="0" borderId="12" xfId="0" applyNumberFormat="1" applyFont="1" applyBorder="1" applyAlignment="1"/>
    <xf numFmtId="0" fontId="5" fillId="0" borderId="18" xfId="0" applyFont="1" applyBorder="1" applyAlignment="1"/>
    <xf numFmtId="165" fontId="9" fillId="0" borderId="1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4" fillId="0" borderId="19" xfId="0" applyFont="1" applyBorder="1" applyAlignment="1"/>
    <xf numFmtId="164" fontId="5" fillId="0" borderId="15" xfId="0" applyNumberFormat="1" applyFont="1" applyBorder="1" applyAlignment="1"/>
    <xf numFmtId="164" fontId="4" fillId="0" borderId="20" xfId="0" applyNumberFormat="1" applyFont="1" applyBorder="1" applyAlignment="1"/>
    <xf numFmtId="164" fontId="4" fillId="0" borderId="21" xfId="0" applyNumberFormat="1" applyFont="1" applyBorder="1" applyAlignment="1"/>
    <xf numFmtId="164" fontId="5" fillId="0" borderId="22" xfId="0" applyNumberFormat="1" applyFont="1" applyBorder="1" applyAlignment="1"/>
    <xf numFmtId="164" fontId="5" fillId="0" borderId="22" xfId="0" applyNumberFormat="1" applyFont="1" applyBorder="1" applyAlignment="1"/>
    <xf numFmtId="0" fontId="4" fillId="0" borderId="3" xfId="0" applyFont="1" applyBorder="1" applyAlignment="1"/>
    <xf numFmtId="164" fontId="4" fillId="0" borderId="2" xfId="0" applyNumberFormat="1" applyFont="1" applyBorder="1" applyAlignment="1"/>
    <xf numFmtId="164" fontId="4" fillId="0" borderId="5" xfId="0" applyNumberFormat="1" applyFont="1" applyBorder="1" applyAlignment="1"/>
    <xf numFmtId="0" fontId="4" fillId="0" borderId="2" xfId="0" applyFont="1" applyBorder="1" applyAlignment="1"/>
    <xf numFmtId="164" fontId="4" fillId="0" borderId="2" xfId="0" applyNumberFormat="1" applyFont="1" applyBorder="1" applyAlignment="1">
      <alignment horizontal="center"/>
    </xf>
    <xf numFmtId="164" fontId="5" fillId="0" borderId="23" xfId="0" applyNumberFormat="1" applyFont="1" applyBorder="1" applyAlignment="1"/>
    <xf numFmtId="0" fontId="5" fillId="0" borderId="24" xfId="0" applyFont="1" applyBorder="1" applyAlignment="1"/>
    <xf numFmtId="164" fontId="5" fillId="0" borderId="7" xfId="0" applyNumberFormat="1" applyFont="1" applyBorder="1" applyAlignment="1"/>
    <xf numFmtId="164" fontId="5" fillId="0" borderId="25" xfId="0" applyNumberFormat="1" applyFont="1" applyBorder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164" fontId="5" fillId="0" borderId="1" xfId="0" applyNumberFormat="1" applyFont="1" applyBorder="1" applyAlignment="1"/>
    <xf numFmtId="0" fontId="5" fillId="0" borderId="26" xfId="0" applyFont="1" applyBorder="1" applyAlignment="1"/>
    <xf numFmtId="164" fontId="5" fillId="0" borderId="27" xfId="0" applyNumberFormat="1" applyFont="1" applyBorder="1" applyAlignment="1"/>
    <xf numFmtId="0" fontId="5" fillId="0" borderId="28" xfId="0" applyFont="1" applyBorder="1" applyAlignment="1"/>
    <xf numFmtId="0" fontId="5" fillId="0" borderId="22" xfId="0" applyFont="1" applyBorder="1" applyAlignment="1"/>
    <xf numFmtId="164" fontId="5" fillId="0" borderId="29" xfId="0" applyNumberFormat="1" applyFont="1" applyBorder="1" applyAlignment="1"/>
    <xf numFmtId="0" fontId="5" fillId="0" borderId="12" xfId="0" applyFont="1" applyBorder="1" applyAlignment="1"/>
    <xf numFmtId="164" fontId="5" fillId="0" borderId="27" xfId="0" applyNumberFormat="1" applyFont="1" applyBorder="1" applyAlignment="1"/>
    <xf numFmtId="0" fontId="4" fillId="0" borderId="2" xfId="0" applyFont="1" applyBorder="1" applyAlignment="1"/>
    <xf numFmtId="0" fontId="7" fillId="0" borderId="0" xfId="0" applyFont="1" applyAlignment="1"/>
    <xf numFmtId="0" fontId="10" fillId="0" borderId="14" xfId="0" applyFont="1" applyBorder="1" applyAlignment="1"/>
    <xf numFmtId="164" fontId="10" fillId="0" borderId="6" xfId="0" applyNumberFormat="1" applyFont="1" applyBorder="1" applyAlignment="1"/>
    <xf numFmtId="0" fontId="3" fillId="0" borderId="0" xfId="0" applyFont="1" applyAlignment="1"/>
    <xf numFmtId="164" fontId="10" fillId="0" borderId="17" xfId="0" applyNumberFormat="1" applyFont="1" applyBorder="1" applyAlignment="1"/>
    <xf numFmtId="164" fontId="4" fillId="0" borderId="20" xfId="0" applyNumberFormat="1" applyFont="1" applyBorder="1" applyAlignment="1"/>
    <xf numFmtId="164" fontId="9" fillId="0" borderId="12" xfId="0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5" fillId="0" borderId="15" xfId="0" applyNumberFormat="1" applyFont="1" applyBorder="1" applyAlignment="1"/>
    <xf numFmtId="0" fontId="5" fillId="0" borderId="15" xfId="0" applyFont="1" applyBorder="1" applyAlignment="1"/>
    <xf numFmtId="164" fontId="5" fillId="0" borderId="36" xfId="0" applyNumberFormat="1" applyFont="1" applyBorder="1" applyAlignment="1"/>
    <xf numFmtId="164" fontId="5" fillId="0" borderId="37" xfId="0" applyNumberFormat="1" applyFont="1" applyBorder="1" applyAlignment="1"/>
    <xf numFmtId="164" fontId="5" fillId="0" borderId="38" xfId="0" applyNumberFormat="1" applyFont="1" applyBorder="1" applyAlignment="1"/>
    <xf numFmtId="164" fontId="5" fillId="0" borderId="39" xfId="0" applyNumberFormat="1" applyFont="1" applyBorder="1" applyAlignment="1"/>
    <xf numFmtId="164" fontId="5" fillId="0" borderId="37" xfId="0" applyNumberFormat="1" applyFont="1" applyBorder="1" applyAlignment="1"/>
    <xf numFmtId="164" fontId="5" fillId="0" borderId="40" xfId="0" applyNumberFormat="1" applyFont="1" applyBorder="1" applyAlignment="1"/>
    <xf numFmtId="49" fontId="5" fillId="0" borderId="22" xfId="0" applyNumberFormat="1" applyFont="1" applyBorder="1" applyAlignment="1"/>
    <xf numFmtId="0" fontId="5" fillId="0" borderId="22" xfId="0" applyFont="1" applyBorder="1" applyAlignment="1"/>
    <xf numFmtId="164" fontId="5" fillId="0" borderId="14" xfId="0" applyNumberFormat="1" applyFont="1" applyBorder="1" applyAlignment="1"/>
    <xf numFmtId="164" fontId="5" fillId="0" borderId="12" xfId="0" applyNumberFormat="1" applyFont="1" applyBorder="1" applyAlignment="1"/>
    <xf numFmtId="164" fontId="5" fillId="0" borderId="9" xfId="0" applyNumberFormat="1" applyFont="1" applyBorder="1" applyAlignment="1"/>
    <xf numFmtId="164" fontId="5" fillId="0" borderId="1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0" xfId="0" applyNumberFormat="1" applyFont="1" applyAlignment="1"/>
    <xf numFmtId="164" fontId="3" fillId="0" borderId="0" xfId="0" applyNumberFormat="1" applyFont="1" applyAlignment="1"/>
    <xf numFmtId="0" fontId="5" fillId="2" borderId="1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164" fontId="5" fillId="0" borderId="48" xfId="0" applyNumberFormat="1" applyFont="1" applyBorder="1" applyAlignment="1"/>
    <xf numFmtId="0" fontId="5" fillId="0" borderId="0" xfId="0" applyFont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5" fillId="0" borderId="22" xfId="0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4" fillId="0" borderId="3" xfId="0" applyFont="1" applyBorder="1" applyAlignment="1">
      <alignment horizontal="center"/>
    </xf>
    <xf numFmtId="164" fontId="5" fillId="0" borderId="17" xfId="0" applyNumberFormat="1" applyFont="1" applyBorder="1" applyAlignment="1">
      <alignment vertical="top"/>
    </xf>
    <xf numFmtId="0" fontId="5" fillId="0" borderId="19" xfId="0" applyFont="1" applyBorder="1" applyAlignment="1">
      <alignment horizontal="center"/>
    </xf>
    <xf numFmtId="164" fontId="5" fillId="0" borderId="9" xfId="0" applyNumberFormat="1" applyFont="1" applyBorder="1" applyAlignment="1">
      <alignment vertical="top"/>
    </xf>
    <xf numFmtId="0" fontId="5" fillId="0" borderId="49" xfId="0" applyFont="1" applyBorder="1" applyAlignment="1">
      <alignment horizontal="center"/>
    </xf>
    <xf numFmtId="164" fontId="5" fillId="0" borderId="6" xfId="0" applyNumberFormat="1" applyFont="1" applyBorder="1" applyAlignment="1">
      <alignment vertical="top"/>
    </xf>
    <xf numFmtId="0" fontId="5" fillId="0" borderId="21" xfId="0" applyFont="1" applyBorder="1" applyAlignment="1">
      <alignment horizontal="center"/>
    </xf>
    <xf numFmtId="164" fontId="4" fillId="0" borderId="2" xfId="0" applyNumberFormat="1" applyFont="1" applyBorder="1" applyAlignment="1">
      <alignment vertical="top"/>
    </xf>
    <xf numFmtId="0" fontId="5" fillId="2" borderId="7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164" fontId="5" fillId="0" borderId="9" xfId="0" applyNumberFormat="1" applyFont="1" applyBorder="1" applyAlignment="1"/>
    <xf numFmtId="0" fontId="5" fillId="3" borderId="19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5" fillId="0" borderId="11" xfId="0" applyFont="1" applyBorder="1" applyAlignment="1"/>
    <xf numFmtId="166" fontId="5" fillId="0" borderId="14" xfId="0" applyNumberFormat="1" applyFont="1" applyBorder="1" applyAlignment="1"/>
    <xf numFmtId="49" fontId="5" fillId="0" borderId="27" xfId="0" applyNumberFormat="1" applyFont="1" applyBorder="1" applyAlignment="1"/>
    <xf numFmtId="0" fontId="5" fillId="0" borderId="27" xfId="0" applyFont="1" applyBorder="1" applyAlignment="1"/>
    <xf numFmtId="164" fontId="5" fillId="0" borderId="28" xfId="0" applyNumberFormat="1" applyFont="1" applyBorder="1" applyAlignment="1"/>
    <xf numFmtId="164" fontId="5" fillId="0" borderId="51" xfId="0" applyNumberFormat="1" applyFont="1" applyBorder="1" applyAlignment="1"/>
    <xf numFmtId="164" fontId="5" fillId="0" borderId="52" xfId="0" applyNumberFormat="1" applyFont="1" applyBorder="1" applyAlignment="1"/>
    <xf numFmtId="0" fontId="11" fillId="0" borderId="53" xfId="0" applyFont="1" applyBorder="1" applyAlignment="1">
      <alignment horizontal="right"/>
    </xf>
    <xf numFmtId="164" fontId="5" fillId="0" borderId="54" xfId="0" applyNumberFormat="1" applyFont="1" applyBorder="1" applyAlignment="1"/>
    <xf numFmtId="164" fontId="5" fillId="0" borderId="29" xfId="0" applyNumberFormat="1" applyFont="1" applyBorder="1" applyAlignment="1"/>
    <xf numFmtId="0" fontId="5" fillId="0" borderId="37" xfId="0" applyFont="1" applyBorder="1" applyAlignment="1"/>
    <xf numFmtId="0" fontId="5" fillId="0" borderId="2" xfId="0" applyFont="1" applyBorder="1" applyAlignment="1"/>
    <xf numFmtId="164" fontId="5" fillId="0" borderId="17" xfId="0" applyNumberFormat="1" applyFont="1" applyBorder="1" applyAlignment="1"/>
    <xf numFmtId="164" fontId="5" fillId="2" borderId="55" xfId="0" applyNumberFormat="1" applyFont="1" applyFill="1" applyBorder="1" applyAlignment="1"/>
    <xf numFmtId="164" fontId="5" fillId="2" borderId="22" xfId="0" applyNumberFormat="1" applyFont="1" applyFill="1" applyBorder="1" applyAlignment="1"/>
    <xf numFmtId="164" fontId="4" fillId="0" borderId="3" xfId="0" applyNumberFormat="1" applyFont="1" applyBorder="1" applyAlignment="1"/>
    <xf numFmtId="0" fontId="5" fillId="0" borderId="12" xfId="0" applyFont="1" applyBorder="1" applyAlignment="1"/>
    <xf numFmtId="0" fontId="5" fillId="0" borderId="37" xfId="0" applyFont="1" applyBorder="1" applyAlignment="1"/>
    <xf numFmtId="164" fontId="5" fillId="2" borderId="22" xfId="0" applyNumberFormat="1" applyFont="1" applyFill="1" applyBorder="1" applyAlignment="1"/>
    <xf numFmtId="164" fontId="5" fillId="0" borderId="38" xfId="0" applyNumberFormat="1" applyFont="1" applyBorder="1" applyAlignment="1"/>
    <xf numFmtId="164" fontId="5" fillId="2" borderId="56" xfId="0" applyNumberFormat="1" applyFont="1" applyFill="1" applyBorder="1" applyAlignment="1"/>
    <xf numFmtId="164" fontId="4" fillId="3" borderId="57" xfId="0" applyNumberFormat="1" applyFont="1" applyFill="1" applyBorder="1" applyAlignment="1"/>
    <xf numFmtId="164" fontId="4" fillId="3" borderId="17" xfId="0" applyNumberFormat="1" applyFont="1" applyFill="1" applyBorder="1" applyAlignment="1"/>
    <xf numFmtId="0" fontId="5" fillId="0" borderId="18" xfId="0" applyFont="1" applyBorder="1" applyAlignment="1"/>
    <xf numFmtId="0" fontId="11" fillId="0" borderId="37" xfId="0" applyFont="1" applyBorder="1" applyAlignment="1">
      <alignment horizontal="right"/>
    </xf>
    <xf numFmtId="164" fontId="5" fillId="2" borderId="55" xfId="0" applyNumberFormat="1" applyFont="1" applyFill="1" applyBorder="1" applyAlignment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10" fillId="2" borderId="22" xfId="0" applyNumberFormat="1" applyFont="1" applyFill="1" applyBorder="1" applyAlignment="1"/>
    <xf numFmtId="164" fontId="11" fillId="2" borderId="12" xfId="0" applyNumberFormat="1" applyFont="1" applyFill="1" applyBorder="1" applyAlignment="1">
      <alignment horizontal="right"/>
    </xf>
    <xf numFmtId="0" fontId="5" fillId="0" borderId="30" xfId="0" applyFont="1" applyBorder="1" applyAlignment="1"/>
    <xf numFmtId="0" fontId="5" fillId="0" borderId="31" xfId="0" applyFont="1" applyBorder="1" applyAlignment="1"/>
    <xf numFmtId="0" fontId="5" fillId="0" borderId="58" xfId="0" applyFont="1" applyBorder="1" applyAlignment="1"/>
    <xf numFmtId="0" fontId="11" fillId="0" borderId="59" xfId="0" applyFont="1" applyBorder="1" applyAlignment="1">
      <alignment horizontal="right"/>
    </xf>
    <xf numFmtId="164" fontId="5" fillId="0" borderId="32" xfId="0" applyNumberFormat="1" applyFont="1" applyBorder="1" applyAlignment="1"/>
    <xf numFmtId="164" fontId="4" fillId="2" borderId="60" xfId="0" applyNumberFormat="1" applyFont="1" applyFill="1" applyBorder="1" applyAlignment="1"/>
    <xf numFmtId="164" fontId="5" fillId="0" borderId="31" xfId="0" applyNumberFormat="1" applyFont="1" applyBorder="1" applyAlignment="1"/>
    <xf numFmtId="166" fontId="4" fillId="0" borderId="14" xfId="0" applyNumberFormat="1" applyFont="1" applyBorder="1" applyAlignment="1"/>
    <xf numFmtId="164" fontId="4" fillId="2" borderId="32" xfId="0" applyNumberFormat="1" applyFont="1" applyFill="1" applyBorder="1" applyAlignment="1"/>
    <xf numFmtId="164" fontId="4" fillId="2" borderId="32" xfId="0" applyNumberFormat="1" applyFont="1" applyFill="1" applyBorder="1" applyAlignment="1"/>
    <xf numFmtId="164" fontId="5" fillId="0" borderId="34" xfId="0" applyNumberFormat="1" applyFont="1" applyBorder="1" applyAlignment="1"/>
    <xf numFmtId="164" fontId="4" fillId="2" borderId="2" xfId="0" applyNumberFormat="1" applyFont="1" applyFill="1" applyBorder="1" applyAlignment="1"/>
    <xf numFmtId="164" fontId="5" fillId="0" borderId="30" xfId="0" applyNumberFormat="1" applyFont="1" applyBorder="1" applyAlignment="1"/>
    <xf numFmtId="166" fontId="5" fillId="0" borderId="2" xfId="0" applyNumberFormat="1" applyFont="1" applyBorder="1" applyAlignment="1"/>
    <xf numFmtId="0" fontId="5" fillId="0" borderId="33" xfId="0" applyFont="1" applyBorder="1" applyAlignment="1"/>
    <xf numFmtId="164" fontId="5" fillId="2" borderId="60" xfId="0" applyNumberFormat="1" applyFont="1" applyFill="1" applyBorder="1" applyAlignment="1"/>
    <xf numFmtId="164" fontId="5" fillId="2" borderId="2" xfId="0" applyNumberFormat="1" applyFont="1" applyFill="1" applyBorder="1" applyAlignment="1"/>
    <xf numFmtId="164" fontId="4" fillId="3" borderId="30" xfId="0" applyNumberFormat="1" applyFont="1" applyFill="1" applyBorder="1" applyAlignment="1"/>
    <xf numFmtId="164" fontId="4" fillId="3" borderId="2" xfId="0" applyNumberFormat="1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8" fillId="0" borderId="6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Alignment="1"/>
    <xf numFmtId="0" fontId="4" fillId="0" borderId="44" xfId="0" applyFont="1" applyBorder="1" applyAlignment="1">
      <alignment horizontal="center"/>
    </xf>
    <xf numFmtId="0" fontId="7" fillId="0" borderId="46" xfId="0" applyFont="1" applyBorder="1"/>
    <xf numFmtId="0" fontId="7" fillId="0" borderId="45" xfId="0" applyFont="1" applyBorder="1"/>
    <xf numFmtId="0" fontId="4" fillId="3" borderId="18" xfId="0" applyFont="1" applyFill="1" applyBorder="1" applyAlignment="1">
      <alignment horizontal="center"/>
    </xf>
    <xf numFmtId="0" fontId="7" fillId="0" borderId="16" xfId="0" applyFont="1" applyBorder="1"/>
    <xf numFmtId="0" fontId="4" fillId="0" borderId="41" xfId="0" applyFont="1" applyBorder="1" applyAlignment="1">
      <alignment horizontal="center"/>
    </xf>
    <xf numFmtId="0" fontId="7" fillId="0" borderId="42" xfId="0" applyFont="1" applyBorder="1"/>
    <xf numFmtId="0" fontId="7" fillId="0" borderId="43" xfId="0" applyFont="1" applyBorder="1"/>
    <xf numFmtId="164" fontId="5" fillId="5" borderId="22" xfId="0" applyNumberFormat="1" applyFont="1" applyFill="1" applyBorder="1" applyAlignment="1"/>
    <xf numFmtId="164" fontId="5" fillId="6" borderId="56" xfId="0" applyNumberFormat="1" applyFont="1" applyFill="1" applyBorder="1" applyAlignment="1"/>
    <xf numFmtId="164" fontId="5" fillId="7" borderId="22" xfId="0" applyNumberFormat="1" applyFont="1" applyFill="1" applyBorder="1" applyAlignment="1"/>
    <xf numFmtId="164" fontId="5" fillId="8" borderId="22" xfId="0" applyNumberFormat="1" applyFont="1" applyFill="1" applyBorder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67"/>
  <sheetViews>
    <sheetView workbookViewId="0">
      <selection activeCell="A17" sqref="A17"/>
    </sheetView>
  </sheetViews>
  <sheetFormatPr defaultColWidth="14.42578125" defaultRowHeight="15" customHeight="1"/>
  <cols>
    <col min="1" max="1" width="55.28515625" customWidth="1"/>
    <col min="2" max="2" width="10.5703125" customWidth="1"/>
    <col min="3" max="3" width="12.140625" customWidth="1"/>
    <col min="4" max="14" width="8" customWidth="1"/>
  </cols>
  <sheetData>
    <row r="1" spans="1:26" ht="12.75" customHeight="1">
      <c r="A1" s="167" t="s">
        <v>0</v>
      </c>
      <c r="B1" s="166"/>
      <c r="C1" s="1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67" t="s">
        <v>3</v>
      </c>
      <c r="B2" s="166"/>
      <c r="C2" s="1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67" t="s">
        <v>4</v>
      </c>
      <c r="B3" s="166"/>
      <c r="C3" s="1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67" t="s">
        <v>5</v>
      </c>
      <c r="B4" s="166"/>
      <c r="C4" s="16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65" t="s">
        <v>6</v>
      </c>
      <c r="B6" s="166"/>
      <c r="C6" s="16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65" t="s">
        <v>8</v>
      </c>
      <c r="B7" s="166"/>
      <c r="C7" s="16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65" t="s">
        <v>11</v>
      </c>
      <c r="B8" s="166"/>
      <c r="C8" s="16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65" t="s">
        <v>12</v>
      </c>
      <c r="B9" s="166"/>
      <c r="C9" s="16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65" t="s">
        <v>14</v>
      </c>
      <c r="B10" s="166"/>
      <c r="C10" s="16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5" t="s">
        <v>15</v>
      </c>
      <c r="B11" s="166"/>
      <c r="C11" s="16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65" t="s">
        <v>16</v>
      </c>
      <c r="B12" s="166"/>
      <c r="C12" s="16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6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6"/>
      <c r="B14" s="10" t="s">
        <v>17</v>
      </c>
      <c r="C14" s="10" t="s">
        <v>19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1" t="s">
        <v>20</v>
      </c>
      <c r="B15" s="15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0" t="s">
        <v>27</v>
      </c>
      <c r="B16" s="25">
        <v>120</v>
      </c>
      <c r="C16" s="28">
        <f t="shared" ref="C16:C22" si="0">B16*12</f>
        <v>1440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0" t="s">
        <v>34</v>
      </c>
      <c r="B17" s="25">
        <v>1800</v>
      </c>
      <c r="C17" s="28">
        <f t="shared" si="0"/>
        <v>21600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0" t="s">
        <v>35</v>
      </c>
      <c r="B18" s="25">
        <v>13000</v>
      </c>
      <c r="C18" s="28">
        <f t="shared" si="0"/>
        <v>156000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0" t="s">
        <v>36</v>
      </c>
      <c r="B19" s="25">
        <v>0</v>
      </c>
      <c r="C19" s="28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0" t="s">
        <v>37</v>
      </c>
      <c r="B20" s="25">
        <v>8000</v>
      </c>
      <c r="C20" s="28">
        <f t="shared" si="0"/>
        <v>96000</v>
      </c>
      <c r="D20" s="3" t="s">
        <v>29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0" t="s">
        <v>38</v>
      </c>
      <c r="B21" s="25">
        <f>B73</f>
        <v>22900.259000000002</v>
      </c>
      <c r="C21" s="28">
        <f t="shared" si="0"/>
        <v>274803.10800000001</v>
      </c>
      <c r="D21" s="3" t="s">
        <v>29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4" t="s">
        <v>41</v>
      </c>
      <c r="B22" s="36">
        <f>SUM(B16:B21)</f>
        <v>45820.259000000005</v>
      </c>
      <c r="C22" s="37">
        <f t="shared" si="0"/>
        <v>549843.10800000001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6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1" t="s">
        <v>45</v>
      </c>
      <c r="B24" s="15"/>
      <c r="C24" s="1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0" t="s">
        <v>46</v>
      </c>
      <c r="B25" s="25">
        <v>25000</v>
      </c>
      <c r="C25" s="28">
        <f t="shared" ref="C25:C26" si="1">B25*12</f>
        <v>300000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4" t="s">
        <v>41</v>
      </c>
      <c r="B26" s="36">
        <f>SUM(B25)</f>
        <v>25000</v>
      </c>
      <c r="C26" s="37">
        <f t="shared" si="1"/>
        <v>300000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6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1" t="s">
        <v>49</v>
      </c>
      <c r="B28" s="15"/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0" t="s">
        <v>51</v>
      </c>
      <c r="B29" s="25">
        <v>12250</v>
      </c>
      <c r="C29" s="28">
        <f t="shared" ref="C29:C30" si="2">B29*12</f>
        <v>147000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34" t="s">
        <v>41</v>
      </c>
      <c r="B30" s="36">
        <f>SUM(B29)</f>
        <v>12250</v>
      </c>
      <c r="C30" s="37">
        <f t="shared" si="2"/>
        <v>147000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6"/>
      <c r="B31" s="6" t="s">
        <v>29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1" t="s">
        <v>54</v>
      </c>
      <c r="B32" s="15"/>
      <c r="C32" s="1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0" t="s">
        <v>55</v>
      </c>
      <c r="B33" s="25">
        <v>5000</v>
      </c>
      <c r="C33" s="28">
        <f t="shared" ref="C33:C35" si="3">B33*12</f>
        <v>60000</v>
      </c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0" t="s">
        <v>56</v>
      </c>
      <c r="B34" s="25">
        <v>32000</v>
      </c>
      <c r="C34" s="28">
        <f t="shared" si="3"/>
        <v>384000</v>
      </c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34" t="s">
        <v>41</v>
      </c>
      <c r="B35" s="36">
        <f>SUM(B33:B34)</f>
        <v>37000</v>
      </c>
      <c r="C35" s="37">
        <f t="shared" si="3"/>
        <v>444000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1" t="s">
        <v>58</v>
      </c>
      <c r="B37" s="15"/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0" t="s">
        <v>59</v>
      </c>
      <c r="B38" s="25">
        <v>125000</v>
      </c>
      <c r="C38" s="28">
        <f t="shared" ref="C38:C40" si="4">B38*12</f>
        <v>1500000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0" t="s">
        <v>61</v>
      </c>
      <c r="B39" s="25">
        <v>300</v>
      </c>
      <c r="C39" s="28">
        <f t="shared" si="4"/>
        <v>3600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34" t="s">
        <v>41</v>
      </c>
      <c r="B40" s="36">
        <f>SUM(B38:B39)</f>
        <v>125300</v>
      </c>
      <c r="C40" s="37">
        <f t="shared" si="4"/>
        <v>1503600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1" t="s">
        <v>63</v>
      </c>
      <c r="B42" s="15"/>
      <c r="C42" s="1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0" t="s">
        <v>64</v>
      </c>
      <c r="B43" s="25">
        <v>34482</v>
      </c>
      <c r="C43" s="28">
        <f t="shared" ref="C43:C46" si="5">B43*12</f>
        <v>413784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0" t="s">
        <v>65</v>
      </c>
      <c r="B44" s="25">
        <v>11500</v>
      </c>
      <c r="C44" s="28">
        <f t="shared" si="5"/>
        <v>138000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0" t="s">
        <v>66</v>
      </c>
      <c r="B45" s="25">
        <v>41965</v>
      </c>
      <c r="C45" s="28">
        <f t="shared" si="5"/>
        <v>503580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34" t="s">
        <v>41</v>
      </c>
      <c r="B46" s="36">
        <f>SUM(B43:B45)</f>
        <v>87947</v>
      </c>
      <c r="C46" s="37">
        <f t="shared" si="5"/>
        <v>1055364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1" t="s">
        <v>68</v>
      </c>
      <c r="B48" s="15"/>
      <c r="C48" s="1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20" t="s">
        <v>69</v>
      </c>
      <c r="B49" s="25">
        <v>850</v>
      </c>
      <c r="C49" s="28">
        <f t="shared" ref="C49:C51" si="6">B49*12</f>
        <v>10200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20" t="s">
        <v>71</v>
      </c>
      <c r="B50" s="25">
        <v>400</v>
      </c>
      <c r="C50" s="28">
        <f t="shared" si="6"/>
        <v>4800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34" t="s">
        <v>41</v>
      </c>
      <c r="B51" s="36">
        <f>SUM(B49:B50)</f>
        <v>1250</v>
      </c>
      <c r="C51" s="37">
        <f t="shared" si="6"/>
        <v>15000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1" t="s">
        <v>73</v>
      </c>
      <c r="B53" s="15"/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20" t="s">
        <v>74</v>
      </c>
      <c r="B54" s="25">
        <v>2537</v>
      </c>
      <c r="C54" s="28">
        <f t="shared" ref="C54:C61" si="7">B54*12</f>
        <v>30444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20" t="s">
        <v>75</v>
      </c>
      <c r="B55" s="25">
        <v>2000</v>
      </c>
      <c r="C55" s="28">
        <f t="shared" si="7"/>
        <v>24000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20" t="s">
        <v>76</v>
      </c>
      <c r="B56" s="25">
        <f>0.22*B46</f>
        <v>19348.34</v>
      </c>
      <c r="C56" s="28">
        <f t="shared" si="7"/>
        <v>232180.08000000002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20" t="s">
        <v>77</v>
      </c>
      <c r="B57" s="25">
        <f>0.029*B46</f>
        <v>2550.4630000000002</v>
      </c>
      <c r="C57" s="28">
        <f t="shared" si="7"/>
        <v>30605.556000000004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20" t="s">
        <v>79</v>
      </c>
      <c r="B58" s="25">
        <f>0.013*B46</f>
        <v>1143.3109999999999</v>
      </c>
      <c r="C58" s="28">
        <f t="shared" si="7"/>
        <v>13719.732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20" t="s">
        <v>80</v>
      </c>
      <c r="B59" s="25">
        <f>0.051*B46</f>
        <v>4485.2969999999996</v>
      </c>
      <c r="C59" s="28">
        <f t="shared" si="7"/>
        <v>53823.563999999998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54" t="s">
        <v>81</v>
      </c>
      <c r="B60" s="56">
        <v>500</v>
      </c>
      <c r="C60" s="28">
        <f t="shared" si="7"/>
        <v>6000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34" t="s">
        <v>41</v>
      </c>
      <c r="B61" s="36">
        <f>SUM(B54:B60)</f>
        <v>32564.411</v>
      </c>
      <c r="C61" s="37">
        <f t="shared" si="7"/>
        <v>390772.93200000003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1" t="s">
        <v>83</v>
      </c>
      <c r="B63" s="15"/>
      <c r="C63" s="1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20" t="s">
        <v>85</v>
      </c>
      <c r="B64" s="25">
        <v>2800</v>
      </c>
      <c r="C64" s="28">
        <f t="shared" ref="C64:C73" si="8">B64*12</f>
        <v>33600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20" t="s">
        <v>86</v>
      </c>
      <c r="B65" s="25">
        <v>12643</v>
      </c>
      <c r="C65" s="28">
        <f t="shared" si="8"/>
        <v>151716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20" t="s">
        <v>76</v>
      </c>
      <c r="B66" s="25">
        <f>0.22*B65</f>
        <v>2781.46</v>
      </c>
      <c r="C66" s="28">
        <f t="shared" si="8"/>
        <v>33377.520000000004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20" t="s">
        <v>77</v>
      </c>
      <c r="B67" s="25">
        <f>0.029*B65</f>
        <v>366.64699999999999</v>
      </c>
      <c r="C67" s="28">
        <f t="shared" si="8"/>
        <v>4399.7640000000001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20" t="s">
        <v>79</v>
      </c>
      <c r="B68" s="25">
        <f>0.013*B65</f>
        <v>164.35899999999998</v>
      </c>
      <c r="C68" s="28">
        <f t="shared" si="8"/>
        <v>1972.3079999999998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20" t="s">
        <v>80</v>
      </c>
      <c r="B69" s="25">
        <f>0.051*B65</f>
        <v>644.79300000000001</v>
      </c>
      <c r="C69" s="28">
        <f t="shared" si="8"/>
        <v>7737.5159999999996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54" t="s">
        <v>81</v>
      </c>
      <c r="B70" s="56">
        <v>500</v>
      </c>
      <c r="C70" s="28">
        <f t="shared" si="8"/>
        <v>6000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54" t="s">
        <v>88</v>
      </c>
      <c r="B71" s="56">
        <v>1000</v>
      </c>
      <c r="C71" s="28">
        <f t="shared" si="8"/>
        <v>12000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54" t="s">
        <v>89</v>
      </c>
      <c r="B72" s="56">
        <v>2000</v>
      </c>
      <c r="C72" s="28">
        <f t="shared" si="8"/>
        <v>24000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34" t="s">
        <v>41</v>
      </c>
      <c r="B73" s="36">
        <f>SUM(B64:B72)</f>
        <v>22900.259000000002</v>
      </c>
      <c r="C73" s="37">
        <f t="shared" si="8"/>
        <v>274803.10800000001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1" t="s">
        <v>91</v>
      </c>
      <c r="B75" s="15"/>
      <c r="C75" s="1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20" t="s">
        <v>93</v>
      </c>
      <c r="B76" s="25">
        <f>84000*1.5</f>
        <v>126000</v>
      </c>
      <c r="C76" s="28">
        <f t="shared" ref="C76:C82" si="9">B76*12</f>
        <v>1512000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20" t="s">
        <v>95</v>
      </c>
      <c r="B77" s="25">
        <v>38334</v>
      </c>
      <c r="C77" s="28">
        <f t="shared" si="9"/>
        <v>460008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61" t="s">
        <v>97</v>
      </c>
      <c r="B78" s="62">
        <v>30834</v>
      </c>
      <c r="C78" s="28">
        <f t="shared" si="9"/>
        <v>370008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61" t="s">
        <v>100</v>
      </c>
      <c r="B79" s="62">
        <v>60000</v>
      </c>
      <c r="C79" s="28">
        <f t="shared" si="9"/>
        <v>720000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61" t="s">
        <v>101</v>
      </c>
      <c r="B80" s="62">
        <v>8334</v>
      </c>
      <c r="C80" s="28">
        <f t="shared" si="9"/>
        <v>100008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61" t="s">
        <v>102</v>
      </c>
      <c r="B81" s="62">
        <f>B82-B76-B77-B78-B79-B80</f>
        <v>24076.099999999977</v>
      </c>
      <c r="C81" s="64">
        <f t="shared" si="9"/>
        <v>288913.19999999972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34" t="s">
        <v>41</v>
      </c>
      <c r="B82" s="65">
        <v>287578.09999999998</v>
      </c>
      <c r="C82" s="37">
        <f t="shared" si="9"/>
        <v>3450937.1999999997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27" t="s">
        <v>112</v>
      </c>
      <c r="B84" s="66">
        <f>B82+B61+B51+B46+B40+B35+B30+B22+B26</f>
        <v>654709.7699999999</v>
      </c>
      <c r="C84" s="66">
        <f>B84*12</f>
        <v>7856517.2399999984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mergeCells count="11">
    <mergeCell ref="A9:C9"/>
    <mergeCell ref="A10:C10"/>
    <mergeCell ref="A11:C11"/>
    <mergeCell ref="A12:C12"/>
    <mergeCell ref="A1:C1"/>
    <mergeCell ref="A2:C2"/>
    <mergeCell ref="A3:C3"/>
    <mergeCell ref="A4:C4"/>
    <mergeCell ref="A6:C6"/>
    <mergeCell ref="A7:C7"/>
    <mergeCell ref="A8:C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897"/>
  <sheetViews>
    <sheetView workbookViewId="0">
      <selection sqref="A1:C1"/>
    </sheetView>
  </sheetViews>
  <sheetFormatPr defaultColWidth="14.42578125" defaultRowHeight="15" customHeight="1"/>
  <cols>
    <col min="1" max="1" width="55.28515625" customWidth="1"/>
    <col min="2" max="2" width="10.5703125" customWidth="1"/>
    <col min="3" max="3" width="12.140625" customWidth="1"/>
    <col min="4" max="14" width="8" customWidth="1"/>
  </cols>
  <sheetData>
    <row r="1" spans="1:26" ht="12.75" customHeight="1">
      <c r="A1" s="167" t="s">
        <v>2</v>
      </c>
      <c r="B1" s="166"/>
      <c r="C1" s="1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67" t="s">
        <v>3</v>
      </c>
      <c r="B2" s="166"/>
      <c r="C2" s="1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67" t="s">
        <v>4</v>
      </c>
      <c r="B3" s="166"/>
      <c r="C3" s="1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67" t="s">
        <v>5</v>
      </c>
      <c r="B4" s="166"/>
      <c r="C4" s="16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65" t="s">
        <v>7</v>
      </c>
      <c r="B6" s="166"/>
      <c r="C6" s="16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65" t="s">
        <v>10</v>
      </c>
      <c r="B7" s="166"/>
      <c r="C7" s="16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65" t="s">
        <v>11</v>
      </c>
      <c r="B8" s="166"/>
      <c r="C8" s="16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65" t="s">
        <v>12</v>
      </c>
      <c r="B9" s="166"/>
      <c r="C9" s="16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65" t="s">
        <v>14</v>
      </c>
      <c r="B10" s="166"/>
      <c r="C10" s="16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5" t="s">
        <v>15</v>
      </c>
      <c r="B11" s="166"/>
      <c r="C11" s="16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65" t="s">
        <v>16</v>
      </c>
      <c r="B12" s="166"/>
      <c r="C12" s="16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6"/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68" t="s">
        <v>21</v>
      </c>
      <c r="B15" s="169"/>
      <c r="C15" s="17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68" t="s">
        <v>25</v>
      </c>
      <c r="B16" s="169"/>
      <c r="C16" s="17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7"/>
      <c r="B17" s="17"/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7"/>
      <c r="B18" s="19" t="s">
        <v>17</v>
      </c>
      <c r="C18" s="19" t="s">
        <v>19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22" t="s">
        <v>28</v>
      </c>
      <c r="B19" s="23">
        <v>7450</v>
      </c>
      <c r="C19" s="23">
        <f t="shared" ref="C19:C22" si="0">B19*12</f>
        <v>89400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22" t="s">
        <v>30</v>
      </c>
      <c r="B20" s="23">
        <v>8717</v>
      </c>
      <c r="C20" s="23">
        <f t="shared" si="0"/>
        <v>104604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22" t="s">
        <v>31</v>
      </c>
      <c r="B21" s="23">
        <v>9983</v>
      </c>
      <c r="C21" s="23">
        <f t="shared" si="0"/>
        <v>119796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27" t="s">
        <v>32</v>
      </c>
      <c r="B22" s="29">
        <f>(22*7450)+(4*8717)+(14*9983)</f>
        <v>338530</v>
      </c>
      <c r="C22" s="31">
        <f t="shared" si="0"/>
        <v>4062360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33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33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3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</sheetData>
  <mergeCells count="13">
    <mergeCell ref="A16:C16"/>
    <mergeCell ref="A1:C1"/>
    <mergeCell ref="A2:C2"/>
    <mergeCell ref="A3:C3"/>
    <mergeCell ref="A4:C4"/>
    <mergeCell ref="A6:C6"/>
    <mergeCell ref="A7:C7"/>
    <mergeCell ref="A8:C8"/>
    <mergeCell ref="A9:C9"/>
    <mergeCell ref="A10:C10"/>
    <mergeCell ref="A11:C11"/>
    <mergeCell ref="A12:C12"/>
    <mergeCell ref="A15:C1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3"/>
  <sheetViews>
    <sheetView workbookViewId="0">
      <selection sqref="A1:C1"/>
    </sheetView>
  </sheetViews>
  <sheetFormatPr defaultColWidth="14.42578125" defaultRowHeight="15" customHeight="1"/>
  <cols>
    <col min="1" max="1" width="65.5703125" customWidth="1"/>
    <col min="2" max="2" width="12.140625" customWidth="1"/>
    <col min="3" max="3" width="12.42578125" customWidth="1"/>
    <col min="4" max="4" width="11.85546875" customWidth="1"/>
    <col min="5" max="5" width="13.42578125" customWidth="1"/>
    <col min="6" max="6" width="14.42578125" customWidth="1"/>
    <col min="7" max="16" width="8" customWidth="1"/>
  </cols>
  <sheetData>
    <row r="1" spans="1:26" ht="18" customHeight="1">
      <c r="A1" s="167" t="s">
        <v>1</v>
      </c>
      <c r="B1" s="166"/>
      <c r="C1" s="166"/>
      <c r="D1" s="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67" t="s">
        <v>3</v>
      </c>
      <c r="B2" s="166"/>
      <c r="C2" s="166"/>
      <c r="D2" s="2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67" t="s">
        <v>4</v>
      </c>
      <c r="B3" s="166"/>
      <c r="C3" s="166"/>
      <c r="D3" s="2"/>
      <c r="E3" s="2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67" t="s">
        <v>5</v>
      </c>
      <c r="B4" s="166"/>
      <c r="C4" s="166"/>
      <c r="D4" s="2"/>
      <c r="E4" s="2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2"/>
      <c r="B5" s="2"/>
      <c r="C5" s="2"/>
      <c r="D5" s="2"/>
      <c r="E5" s="2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172" t="s">
        <v>9</v>
      </c>
      <c r="B6" s="166"/>
      <c r="C6" s="166"/>
      <c r="D6" s="5"/>
      <c r="E6" s="5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6"/>
      <c r="B7" s="6"/>
      <c r="C7" s="6"/>
      <c r="D7" s="6"/>
      <c r="E7" s="6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65" t="s">
        <v>13</v>
      </c>
      <c r="B8" s="166"/>
      <c r="C8" s="166"/>
      <c r="D8" s="6"/>
      <c r="E8" s="6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6"/>
      <c r="B9" s="6"/>
      <c r="C9" s="6"/>
      <c r="D9" s="7"/>
      <c r="E9" s="7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9"/>
      <c r="B10" s="173" t="s">
        <v>18</v>
      </c>
      <c r="C10" s="174"/>
      <c r="D10" s="6"/>
      <c r="E10" s="6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2" t="s">
        <v>22</v>
      </c>
      <c r="B11" s="13" t="s">
        <v>23</v>
      </c>
      <c r="C11" s="14" t="s">
        <v>24</v>
      </c>
      <c r="D11" s="6"/>
      <c r="E11" s="6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6" t="s">
        <v>26</v>
      </c>
      <c r="B12" s="21">
        <f>ФЭО!B22</f>
        <v>45820.259000000005</v>
      </c>
      <c r="C12" s="24">
        <f t="shared" ref="C12:C19" si="0">B12*12</f>
        <v>549843.10800000001</v>
      </c>
      <c r="D12" s="26" t="s">
        <v>29</v>
      </c>
      <c r="E12" s="6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0" t="s">
        <v>33</v>
      </c>
      <c r="B13" s="21">
        <f>ФЭО!B25</f>
        <v>25000</v>
      </c>
      <c r="C13" s="24">
        <f t="shared" si="0"/>
        <v>300000</v>
      </c>
      <c r="D13" s="32"/>
      <c r="E13" s="6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0" t="s">
        <v>39</v>
      </c>
      <c r="B14" s="35">
        <f>ФЭО!B30</f>
        <v>12250</v>
      </c>
      <c r="C14" s="24">
        <f t="shared" si="0"/>
        <v>147000</v>
      </c>
      <c r="D14" s="6"/>
      <c r="E14" s="6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0" t="s">
        <v>44</v>
      </c>
      <c r="B15" s="38">
        <f>ФЭО!B35</f>
        <v>37000</v>
      </c>
      <c r="C15" s="24">
        <f t="shared" si="0"/>
        <v>444000</v>
      </c>
      <c r="D15" s="26" t="s">
        <v>29</v>
      </c>
      <c r="E15" s="6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0" t="s">
        <v>47</v>
      </c>
      <c r="B16" s="39">
        <f>ФЭО!B40</f>
        <v>125300</v>
      </c>
      <c r="C16" s="24">
        <f t="shared" si="0"/>
        <v>1503600</v>
      </c>
      <c r="D16" s="6"/>
      <c r="E16" s="6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0" t="s">
        <v>48</v>
      </c>
      <c r="B17" s="39">
        <f>ФЭО!B46</f>
        <v>87947</v>
      </c>
      <c r="C17" s="24">
        <f t="shared" si="0"/>
        <v>1055364</v>
      </c>
      <c r="D17" s="6"/>
      <c r="E17" s="6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0" t="s">
        <v>50</v>
      </c>
      <c r="B18" s="38">
        <f>ФЭО!B51</f>
        <v>1250</v>
      </c>
      <c r="C18" s="24">
        <f t="shared" si="0"/>
        <v>15000</v>
      </c>
      <c r="D18" s="6" t="s">
        <v>29</v>
      </c>
      <c r="E18" s="6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0" t="s">
        <v>52</v>
      </c>
      <c r="B19" s="38">
        <f>ФЭО!B61</f>
        <v>32564.411</v>
      </c>
      <c r="C19" s="24">
        <f t="shared" si="0"/>
        <v>390772.93200000003</v>
      </c>
      <c r="D19" s="6"/>
      <c r="E19" s="6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0" t="s">
        <v>53</v>
      </c>
      <c r="B20" s="41">
        <f t="shared" ref="B20:C20" si="1">SUM(B12:B19)</f>
        <v>367131.67000000004</v>
      </c>
      <c r="C20" s="42">
        <f t="shared" si="1"/>
        <v>4405580.04</v>
      </c>
      <c r="D20" s="6"/>
      <c r="E20" s="6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6"/>
      <c r="B21" s="26"/>
      <c r="C21" s="26"/>
      <c r="D21" s="6"/>
      <c r="E21" s="6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3" t="s">
        <v>57</v>
      </c>
      <c r="B22" s="44" t="s">
        <v>23</v>
      </c>
      <c r="C22" s="44" t="s">
        <v>24</v>
      </c>
      <c r="D22" s="6"/>
      <c r="E22" s="6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6" t="s">
        <v>60</v>
      </c>
      <c r="B23" s="35">
        <v>0</v>
      </c>
      <c r="C23" s="45">
        <f>B23*12</f>
        <v>0</v>
      </c>
      <c r="D23" s="6"/>
      <c r="E23" s="6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6" t="s">
        <v>62</v>
      </c>
      <c r="B24" s="47">
        <f t="shared" ref="B24:C24" si="2">B37</f>
        <v>287578.09999999998</v>
      </c>
      <c r="C24" s="48">
        <f t="shared" si="2"/>
        <v>3450937.1999999997</v>
      </c>
      <c r="D24" s="6"/>
      <c r="E24" s="6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3" t="s">
        <v>53</v>
      </c>
      <c r="B25" s="41">
        <f t="shared" ref="B25:C25" si="3">SUM(B23:B24)</f>
        <v>287578.09999999998</v>
      </c>
      <c r="C25" s="41">
        <f t="shared" si="3"/>
        <v>3450937.1999999997</v>
      </c>
      <c r="D25" s="6"/>
      <c r="E25" s="6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6"/>
      <c r="B26" s="26"/>
      <c r="C26" s="26"/>
      <c r="D26" s="6"/>
      <c r="E26" s="6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3" t="s">
        <v>67</v>
      </c>
      <c r="B27" s="44" t="s">
        <v>23</v>
      </c>
      <c r="C27" s="44" t="s">
        <v>24</v>
      </c>
      <c r="D27" s="6"/>
      <c r="E27" s="6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3" t="s">
        <v>53</v>
      </c>
      <c r="B28" s="41">
        <f t="shared" ref="B28:C28" si="4">B20+B25</f>
        <v>654709.77</v>
      </c>
      <c r="C28" s="41">
        <f t="shared" si="4"/>
        <v>7856517.2400000002</v>
      </c>
      <c r="D28" s="6"/>
      <c r="E28" s="6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6"/>
      <c r="B29" s="26"/>
      <c r="C29" s="26"/>
      <c r="D29" s="6"/>
      <c r="E29" s="6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65" t="s">
        <v>70</v>
      </c>
      <c r="B30" s="166"/>
      <c r="C30" s="166"/>
      <c r="D30" s="7"/>
      <c r="E30" s="7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9"/>
      <c r="B31" s="49"/>
      <c r="C31" s="49"/>
      <c r="D31" s="7"/>
      <c r="E31" s="7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9"/>
      <c r="B32" s="173" t="s">
        <v>18</v>
      </c>
      <c r="C32" s="174"/>
      <c r="D32" s="6"/>
      <c r="E32" s="6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2" t="s">
        <v>70</v>
      </c>
      <c r="B33" s="13" t="s">
        <v>23</v>
      </c>
      <c r="C33" s="14" t="s">
        <v>24</v>
      </c>
      <c r="D33" s="6"/>
      <c r="E33" s="6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0" t="s">
        <v>72</v>
      </c>
      <c r="B34" s="51">
        <v>27322.25</v>
      </c>
      <c r="C34" s="51">
        <f>B34*12</f>
        <v>327867</v>
      </c>
      <c r="D34" s="6"/>
      <c r="E34" s="6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2" t="s">
        <v>78</v>
      </c>
      <c r="B35" s="53">
        <f>C35/12</f>
        <v>1250</v>
      </c>
      <c r="C35" s="53">
        <v>15000</v>
      </c>
      <c r="D35" s="6"/>
      <c r="E35" s="6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55" t="s">
        <v>82</v>
      </c>
      <c r="B36" s="38">
        <f>РВ!B22</f>
        <v>338530</v>
      </c>
      <c r="C36" s="38">
        <f>B36*12</f>
        <v>4062360</v>
      </c>
      <c r="D36" s="6"/>
      <c r="E36" s="6"/>
      <c r="F36" s="3" t="s">
        <v>29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57" t="s">
        <v>84</v>
      </c>
      <c r="B37" s="39">
        <f>C37/12</f>
        <v>287578.09999999998</v>
      </c>
      <c r="C37" s="58">
        <f>ФЭО!C82</f>
        <v>3450937.1999999997</v>
      </c>
      <c r="D37" s="6"/>
      <c r="E37" s="6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52" t="s">
        <v>87</v>
      </c>
      <c r="B38" s="58">
        <v>0</v>
      </c>
      <c r="C38" s="58">
        <v>0</v>
      </c>
      <c r="D38" s="6"/>
      <c r="E38" s="6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59" t="s">
        <v>53</v>
      </c>
      <c r="B39" s="41">
        <f t="shared" ref="B39:C39" si="5">SUM(B34:B38)</f>
        <v>654680.35</v>
      </c>
      <c r="C39" s="41">
        <f t="shared" si="5"/>
        <v>7856164.1999999993</v>
      </c>
      <c r="D39" s="6"/>
      <c r="E39" s="6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6"/>
      <c r="B40" s="6"/>
      <c r="C40" s="6"/>
      <c r="D40" s="6"/>
      <c r="E40" s="6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71" t="s">
        <v>90</v>
      </c>
      <c r="B41" s="166"/>
      <c r="C41" s="166"/>
      <c r="D41" s="6"/>
      <c r="E41" s="6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75" t="s">
        <v>92</v>
      </c>
      <c r="B42" s="166"/>
      <c r="C42" s="166"/>
      <c r="D42" s="6"/>
      <c r="E42" s="6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71" t="s">
        <v>94</v>
      </c>
      <c r="B43" s="166"/>
      <c r="C43" s="166"/>
      <c r="D43" s="6"/>
      <c r="E43" s="6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71" t="s">
        <v>96</v>
      </c>
      <c r="B44" s="166"/>
      <c r="C44" s="166"/>
      <c r="D44" s="6"/>
      <c r="E44" s="6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6"/>
      <c r="B45" s="6"/>
      <c r="C45" s="6"/>
      <c r="D45" s="6"/>
      <c r="E45" s="6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2" t="s">
        <v>98</v>
      </c>
      <c r="B46" s="6"/>
      <c r="C46" s="6"/>
      <c r="D46" s="6"/>
      <c r="E46" s="6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3" t="s">
        <v>99</v>
      </c>
      <c r="B47" s="3"/>
      <c r="C47" s="3"/>
      <c r="D47" s="3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33" t="s">
        <v>103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33" t="s">
        <v>104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33" t="s">
        <v>105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33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33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33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33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3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33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33" t="s">
        <v>113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33" t="s">
        <v>114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33" t="s">
        <v>115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3">
    <mergeCell ref="A44:C44"/>
    <mergeCell ref="A1:C1"/>
    <mergeCell ref="A2:C2"/>
    <mergeCell ref="A3:C3"/>
    <mergeCell ref="A4:C4"/>
    <mergeCell ref="A6:C6"/>
    <mergeCell ref="A8:C8"/>
    <mergeCell ref="B10:C10"/>
    <mergeCell ref="A30:C30"/>
    <mergeCell ref="B32:C32"/>
    <mergeCell ref="A41:C41"/>
    <mergeCell ref="A42:C42"/>
    <mergeCell ref="A43:C43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xSplit="2" ySplit="2" topLeftCell="C17" activePane="bottomRight" state="frozen"/>
      <selection pane="topRight" activeCell="C1" sqref="C1"/>
      <selection pane="bottomLeft" activeCell="A3" sqref="A3"/>
      <selection pane="bottomRight" activeCell="N37" sqref="N37"/>
    </sheetView>
  </sheetViews>
  <sheetFormatPr defaultColWidth="14.42578125" defaultRowHeight="15" customHeight="1"/>
  <cols>
    <col min="1" max="1" width="9.85546875" customWidth="1"/>
    <col min="2" max="2" width="35.7109375" customWidth="1"/>
    <col min="3" max="3" width="9.28515625" customWidth="1"/>
    <col min="4" max="4" width="9.7109375" customWidth="1"/>
    <col min="5" max="5" width="9.140625" customWidth="1"/>
    <col min="6" max="6" width="9.28515625" customWidth="1"/>
    <col min="7" max="7" width="10.5703125" customWidth="1"/>
    <col min="8" max="8" width="9.140625" customWidth="1"/>
    <col min="9" max="9" width="9.28515625" customWidth="1"/>
    <col min="10" max="10" width="9.42578125" customWidth="1"/>
    <col min="11" max="11" width="9.7109375" customWidth="1"/>
    <col min="12" max="12" width="9.5703125" customWidth="1"/>
    <col min="13" max="13" width="9.140625" customWidth="1"/>
    <col min="14" max="14" width="9.7109375" customWidth="1"/>
    <col min="15" max="15" width="11.5703125" customWidth="1"/>
    <col min="16" max="26" width="8" customWidth="1"/>
  </cols>
  <sheetData>
    <row r="1" spans="1:26" ht="13.5" customHeight="1">
      <c r="A1" s="67">
        <v>2019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3" t="s">
        <v>116</v>
      </c>
      <c r="B2" s="13" t="s">
        <v>117</v>
      </c>
      <c r="C2" s="68" t="s">
        <v>118</v>
      </c>
      <c r="D2" s="69" t="s">
        <v>119</v>
      </c>
      <c r="E2" s="69" t="s">
        <v>120</v>
      </c>
      <c r="F2" s="69" t="s">
        <v>121</v>
      </c>
      <c r="G2" s="69" t="s">
        <v>122</v>
      </c>
      <c r="H2" s="70" t="s">
        <v>123</v>
      </c>
      <c r="I2" s="71" t="s">
        <v>124</v>
      </c>
      <c r="J2" s="69" t="s">
        <v>125</v>
      </c>
      <c r="K2" s="69" t="s">
        <v>126</v>
      </c>
      <c r="L2" s="69" t="s">
        <v>127</v>
      </c>
      <c r="M2" s="69" t="s">
        <v>128</v>
      </c>
      <c r="N2" s="72" t="s">
        <v>129</v>
      </c>
      <c r="O2" s="73" t="s">
        <v>130</v>
      </c>
      <c r="P2" s="4">
        <v>2020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74" t="s">
        <v>131</v>
      </c>
      <c r="B3" s="75" t="s">
        <v>132</v>
      </c>
      <c r="C3" s="76">
        <v>9983</v>
      </c>
      <c r="D3" s="77">
        <v>9983</v>
      </c>
      <c r="E3" s="77">
        <v>9983</v>
      </c>
      <c r="F3" s="77">
        <v>9983</v>
      </c>
      <c r="G3" s="77">
        <v>9983</v>
      </c>
      <c r="H3" s="78">
        <v>9983</v>
      </c>
      <c r="I3" s="79">
        <v>9983</v>
      </c>
      <c r="J3" s="77">
        <v>9983</v>
      </c>
      <c r="K3" s="77">
        <v>9983</v>
      </c>
      <c r="L3" s="77">
        <v>9983</v>
      </c>
      <c r="M3" s="80"/>
      <c r="N3" s="81"/>
      <c r="O3" s="41">
        <f t="shared" ref="O3:O42" si="0">SUM(C3:N3)</f>
        <v>99830</v>
      </c>
      <c r="P3" s="26" t="s">
        <v>29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82" t="s">
        <v>133</v>
      </c>
      <c r="B4" s="83" t="s">
        <v>132</v>
      </c>
      <c r="C4" s="84">
        <v>9983</v>
      </c>
      <c r="D4" s="85">
        <v>9983</v>
      </c>
      <c r="E4" s="85">
        <v>9983</v>
      </c>
      <c r="F4" s="85">
        <v>9983</v>
      </c>
      <c r="G4" s="85">
        <v>9983</v>
      </c>
      <c r="H4" s="28">
        <v>9983</v>
      </c>
      <c r="I4" s="86">
        <v>9983</v>
      </c>
      <c r="J4" s="85">
        <v>9983</v>
      </c>
      <c r="K4" s="85">
        <v>9983</v>
      </c>
      <c r="L4" s="85">
        <v>9983</v>
      </c>
      <c r="M4" s="87"/>
      <c r="N4" s="88"/>
      <c r="O4" s="41">
        <f t="shared" si="0"/>
        <v>99830</v>
      </c>
      <c r="P4" s="26" t="s">
        <v>29</v>
      </c>
      <c r="Q4" s="1"/>
      <c r="R4" s="6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82" t="s">
        <v>140</v>
      </c>
      <c r="B5" s="83" t="s">
        <v>141</v>
      </c>
      <c r="C5" s="84">
        <v>9983</v>
      </c>
      <c r="D5" s="85">
        <v>9983</v>
      </c>
      <c r="E5" s="85">
        <v>9983</v>
      </c>
      <c r="F5" s="85">
        <v>9983</v>
      </c>
      <c r="G5" s="85">
        <v>9983</v>
      </c>
      <c r="H5" s="28">
        <v>9983</v>
      </c>
      <c r="I5" s="86">
        <v>9983</v>
      </c>
      <c r="J5" s="85">
        <v>9983</v>
      </c>
      <c r="K5" s="85">
        <v>9983</v>
      </c>
      <c r="L5" s="85">
        <v>9983</v>
      </c>
      <c r="M5" s="85">
        <v>9983</v>
      </c>
      <c r="N5" s="88"/>
      <c r="O5" s="41">
        <f t="shared" si="0"/>
        <v>109813</v>
      </c>
      <c r="P5" s="26" t="s">
        <v>29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82" t="s">
        <v>143</v>
      </c>
      <c r="B6" s="55" t="s">
        <v>144</v>
      </c>
      <c r="C6" s="84">
        <v>9983</v>
      </c>
      <c r="D6" s="85">
        <v>9983</v>
      </c>
      <c r="E6" s="85">
        <v>9983</v>
      </c>
      <c r="F6" s="85">
        <v>9983</v>
      </c>
      <c r="G6" s="85">
        <v>9983</v>
      </c>
      <c r="H6" s="28">
        <v>9983</v>
      </c>
      <c r="I6" s="86">
        <v>9983</v>
      </c>
      <c r="J6" s="85">
        <v>9983</v>
      </c>
      <c r="K6" s="85">
        <v>9983</v>
      </c>
      <c r="L6" s="85">
        <v>9983</v>
      </c>
      <c r="M6" s="85">
        <v>9983</v>
      </c>
      <c r="N6" s="88"/>
      <c r="O6" s="41">
        <f t="shared" si="0"/>
        <v>109813</v>
      </c>
      <c r="P6" s="8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82" t="s">
        <v>147</v>
      </c>
      <c r="B7" s="83" t="s">
        <v>148</v>
      </c>
      <c r="C7" s="84">
        <v>9983</v>
      </c>
      <c r="D7" s="85">
        <v>9983</v>
      </c>
      <c r="E7" s="85">
        <v>9983</v>
      </c>
      <c r="F7" s="85">
        <v>9983</v>
      </c>
      <c r="G7" s="85">
        <v>9983</v>
      </c>
      <c r="H7" s="28">
        <v>9983</v>
      </c>
      <c r="I7" s="86">
        <v>9983</v>
      </c>
      <c r="J7" s="85">
        <v>9983</v>
      </c>
      <c r="K7" s="85">
        <v>9983</v>
      </c>
      <c r="L7" s="85">
        <v>9983</v>
      </c>
      <c r="M7" s="87"/>
      <c r="N7" s="88"/>
      <c r="O7" s="41">
        <f t="shared" si="0"/>
        <v>99830</v>
      </c>
      <c r="P7" s="6"/>
      <c r="Q7" s="90" t="s">
        <v>29</v>
      </c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82" t="s">
        <v>150</v>
      </c>
      <c r="B8" s="83" t="s">
        <v>151</v>
      </c>
      <c r="C8" s="84">
        <v>9983</v>
      </c>
      <c r="D8" s="85">
        <v>9983</v>
      </c>
      <c r="E8" s="85">
        <v>9983</v>
      </c>
      <c r="F8" s="85">
        <v>9983</v>
      </c>
      <c r="G8" s="85">
        <v>9983</v>
      </c>
      <c r="H8" s="28">
        <v>9983</v>
      </c>
      <c r="I8" s="86">
        <v>9983</v>
      </c>
      <c r="J8" s="85">
        <v>9983</v>
      </c>
      <c r="K8" s="85">
        <v>9983</v>
      </c>
      <c r="L8" s="85">
        <v>9983</v>
      </c>
      <c r="M8" s="85"/>
      <c r="N8" s="88"/>
      <c r="O8" s="41">
        <f t="shared" si="0"/>
        <v>99830</v>
      </c>
      <c r="P8" s="6"/>
      <c r="Q8" s="90" t="s">
        <v>29</v>
      </c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82" t="s">
        <v>152</v>
      </c>
      <c r="B9" s="83" t="s">
        <v>153</v>
      </c>
      <c r="C9" s="84">
        <v>9983</v>
      </c>
      <c r="D9" s="85">
        <v>9983</v>
      </c>
      <c r="E9" s="85">
        <v>9983</v>
      </c>
      <c r="F9" s="85">
        <v>9983</v>
      </c>
      <c r="G9" s="85">
        <v>9983</v>
      </c>
      <c r="H9" s="28">
        <v>9983</v>
      </c>
      <c r="I9" s="86">
        <v>9983</v>
      </c>
      <c r="J9" s="85">
        <v>9983</v>
      </c>
      <c r="K9" s="85">
        <v>9983</v>
      </c>
      <c r="L9" s="85">
        <v>9983</v>
      </c>
      <c r="M9" s="85">
        <v>9983</v>
      </c>
      <c r="N9" s="88"/>
      <c r="O9" s="41">
        <f t="shared" si="0"/>
        <v>109813</v>
      </c>
      <c r="P9" s="6"/>
      <c r="Q9" s="90" t="s">
        <v>29</v>
      </c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82" t="s">
        <v>154</v>
      </c>
      <c r="B10" s="83" t="s">
        <v>155</v>
      </c>
      <c r="C10" s="84">
        <v>7450</v>
      </c>
      <c r="D10" s="84">
        <v>7450</v>
      </c>
      <c r="E10" s="84">
        <v>7450</v>
      </c>
      <c r="F10" s="84">
        <v>7450</v>
      </c>
      <c r="G10" s="84">
        <v>7450</v>
      </c>
      <c r="H10" s="84">
        <v>7450</v>
      </c>
      <c r="I10" s="84">
        <v>7450</v>
      </c>
      <c r="J10" s="84">
        <v>7450</v>
      </c>
      <c r="K10" s="84">
        <v>7450</v>
      </c>
      <c r="L10" s="84">
        <v>7450</v>
      </c>
      <c r="M10" s="84">
        <v>7450</v>
      </c>
      <c r="N10" s="84">
        <v>7450</v>
      </c>
      <c r="O10" s="41">
        <f t="shared" si="0"/>
        <v>89400</v>
      </c>
      <c r="P10" s="6"/>
      <c r="Q10" s="90" t="s">
        <v>29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82" t="s">
        <v>156</v>
      </c>
      <c r="B11" s="83" t="s">
        <v>157</v>
      </c>
      <c r="C11" s="84">
        <v>7450</v>
      </c>
      <c r="D11" s="85">
        <v>7450</v>
      </c>
      <c r="E11" s="85">
        <v>7450</v>
      </c>
      <c r="F11" s="85">
        <v>7450</v>
      </c>
      <c r="G11" s="85">
        <v>7450</v>
      </c>
      <c r="H11" s="85">
        <v>7450</v>
      </c>
      <c r="I11" s="85">
        <v>7450</v>
      </c>
      <c r="J11" s="85">
        <v>7450</v>
      </c>
      <c r="K11" s="85">
        <v>7450</v>
      </c>
      <c r="L11" s="85">
        <v>7450</v>
      </c>
      <c r="M11" s="85">
        <v>7450</v>
      </c>
      <c r="N11" s="85">
        <v>7450</v>
      </c>
      <c r="O11" s="41">
        <f t="shared" si="0"/>
        <v>89400</v>
      </c>
      <c r="P11" s="6"/>
      <c r="Q11" s="90" t="s">
        <v>159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82" t="s">
        <v>160</v>
      </c>
      <c r="B12" s="83" t="s">
        <v>161</v>
      </c>
      <c r="C12" s="84">
        <v>7450</v>
      </c>
      <c r="D12" s="85">
        <v>7450</v>
      </c>
      <c r="E12" s="85">
        <v>7450</v>
      </c>
      <c r="F12" s="85">
        <v>7450</v>
      </c>
      <c r="G12" s="85">
        <v>7450</v>
      </c>
      <c r="H12" s="28">
        <v>7450</v>
      </c>
      <c r="I12" s="86">
        <v>7450</v>
      </c>
      <c r="J12" s="85">
        <v>7450</v>
      </c>
      <c r="K12" s="85">
        <v>7450</v>
      </c>
      <c r="L12" s="85">
        <v>7450</v>
      </c>
      <c r="M12" s="85">
        <v>7450</v>
      </c>
      <c r="N12" s="88"/>
      <c r="O12" s="41">
        <f t="shared" si="0"/>
        <v>81950</v>
      </c>
      <c r="P12" s="6"/>
      <c r="Q12" s="90" t="s">
        <v>29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82" t="s">
        <v>162</v>
      </c>
      <c r="B13" s="83" t="s">
        <v>163</v>
      </c>
      <c r="C13" s="84">
        <v>9983</v>
      </c>
      <c r="D13" s="85">
        <v>9983</v>
      </c>
      <c r="E13" s="85">
        <v>9983</v>
      </c>
      <c r="F13" s="85">
        <v>9983</v>
      </c>
      <c r="G13" s="85">
        <v>9983</v>
      </c>
      <c r="H13" s="28">
        <v>9983</v>
      </c>
      <c r="I13" s="86">
        <v>9983</v>
      </c>
      <c r="J13" s="85">
        <v>9983</v>
      </c>
      <c r="K13" s="85">
        <v>9983</v>
      </c>
      <c r="L13" s="85">
        <v>9983</v>
      </c>
      <c r="M13" s="85">
        <v>9983</v>
      </c>
      <c r="N13" s="25"/>
      <c r="O13" s="41">
        <f t="shared" si="0"/>
        <v>109813</v>
      </c>
      <c r="P13" s="6"/>
      <c r="Q13" s="90" t="s">
        <v>29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82" t="s">
        <v>165</v>
      </c>
      <c r="B14" s="83" t="s">
        <v>166</v>
      </c>
      <c r="C14" s="84">
        <v>9983</v>
      </c>
      <c r="D14" s="85">
        <v>9983</v>
      </c>
      <c r="E14" s="85">
        <v>9983</v>
      </c>
      <c r="F14" s="85">
        <v>9983</v>
      </c>
      <c r="G14" s="85">
        <v>9983</v>
      </c>
      <c r="H14" s="85">
        <v>9983</v>
      </c>
      <c r="I14" s="86">
        <v>9983</v>
      </c>
      <c r="J14" s="85">
        <v>9983</v>
      </c>
      <c r="K14" s="85">
        <v>9983</v>
      </c>
      <c r="L14" s="85">
        <v>9983</v>
      </c>
      <c r="M14" s="85">
        <v>9983</v>
      </c>
      <c r="N14" s="88"/>
      <c r="O14" s="41">
        <f t="shared" si="0"/>
        <v>109813</v>
      </c>
      <c r="P14" s="6"/>
      <c r="Q14" s="3" t="s">
        <v>29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82" t="s">
        <v>167</v>
      </c>
      <c r="B15" s="83" t="s">
        <v>168</v>
      </c>
      <c r="C15" s="84">
        <v>7450</v>
      </c>
      <c r="D15" s="85">
        <v>7450</v>
      </c>
      <c r="E15" s="85">
        <v>7450</v>
      </c>
      <c r="F15" s="85">
        <v>7450</v>
      </c>
      <c r="G15" s="85">
        <v>7450</v>
      </c>
      <c r="H15" s="28">
        <v>7450</v>
      </c>
      <c r="I15" s="86">
        <v>7450</v>
      </c>
      <c r="J15" s="85">
        <v>7450</v>
      </c>
      <c r="K15" s="85">
        <v>7450</v>
      </c>
      <c r="L15" s="85">
        <v>7450</v>
      </c>
      <c r="M15" s="85">
        <v>7450</v>
      </c>
      <c r="N15" s="25"/>
      <c r="O15" s="41">
        <f t="shared" si="0"/>
        <v>81950</v>
      </c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82" t="s">
        <v>169</v>
      </c>
      <c r="B16" s="83" t="s">
        <v>170</v>
      </c>
      <c r="C16" s="84">
        <v>7450</v>
      </c>
      <c r="D16" s="85">
        <v>7450</v>
      </c>
      <c r="E16" s="85">
        <v>7450</v>
      </c>
      <c r="F16" s="85">
        <v>7450</v>
      </c>
      <c r="G16" s="85">
        <v>7450</v>
      </c>
      <c r="H16" s="28">
        <v>7450</v>
      </c>
      <c r="I16" s="93"/>
      <c r="J16" s="85"/>
      <c r="K16" s="85"/>
      <c r="L16" s="85"/>
      <c r="M16" s="87"/>
      <c r="N16" s="88"/>
      <c r="O16" s="41">
        <f t="shared" si="0"/>
        <v>44700</v>
      </c>
      <c r="P16" s="6"/>
      <c r="Q16" s="3" t="s">
        <v>29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82" t="s">
        <v>171</v>
      </c>
      <c r="B17" s="83" t="s">
        <v>172</v>
      </c>
      <c r="C17" s="84">
        <v>9983</v>
      </c>
      <c r="D17" s="85">
        <v>9983</v>
      </c>
      <c r="E17" s="85">
        <v>9983</v>
      </c>
      <c r="F17" s="85">
        <v>9983</v>
      </c>
      <c r="G17" s="85">
        <v>9983</v>
      </c>
      <c r="H17" s="28">
        <v>9983</v>
      </c>
      <c r="I17" s="86">
        <v>9983</v>
      </c>
      <c r="J17" s="85">
        <v>9983</v>
      </c>
      <c r="K17" s="85">
        <v>9983</v>
      </c>
      <c r="L17" s="85">
        <v>9983</v>
      </c>
      <c r="M17" s="85">
        <v>9983</v>
      </c>
      <c r="N17" s="25"/>
      <c r="O17" s="41">
        <f t="shared" si="0"/>
        <v>109813</v>
      </c>
      <c r="P17" s="6"/>
      <c r="Q17" s="3" t="s">
        <v>29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82" t="s">
        <v>173</v>
      </c>
      <c r="B18" s="83" t="s">
        <v>174</v>
      </c>
      <c r="C18" s="84">
        <v>7450</v>
      </c>
      <c r="D18" s="85">
        <v>7450</v>
      </c>
      <c r="E18" s="85">
        <v>7450</v>
      </c>
      <c r="F18" s="85">
        <v>7450</v>
      </c>
      <c r="G18" s="85">
        <v>7450</v>
      </c>
      <c r="H18" s="28">
        <v>7450</v>
      </c>
      <c r="I18" s="86">
        <v>7450</v>
      </c>
      <c r="J18" s="85">
        <v>7450</v>
      </c>
      <c r="K18" s="85">
        <v>7450</v>
      </c>
      <c r="L18" s="85">
        <v>7450</v>
      </c>
      <c r="M18" s="85">
        <v>7450</v>
      </c>
      <c r="N18" s="88"/>
      <c r="O18" s="41">
        <f t="shared" si="0"/>
        <v>81950</v>
      </c>
      <c r="P18" s="6"/>
      <c r="Q18" s="3" t="s">
        <v>29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82" t="s">
        <v>175</v>
      </c>
      <c r="B19" s="83" t="s">
        <v>176</v>
      </c>
      <c r="C19" s="84">
        <v>9983</v>
      </c>
      <c r="D19" s="85">
        <v>9983</v>
      </c>
      <c r="E19" s="85">
        <v>9983</v>
      </c>
      <c r="F19" s="85">
        <v>9983</v>
      </c>
      <c r="G19" s="85">
        <v>9983</v>
      </c>
      <c r="H19" s="28">
        <v>9983</v>
      </c>
      <c r="I19" s="86">
        <v>9983</v>
      </c>
      <c r="J19" s="85">
        <v>9983</v>
      </c>
      <c r="K19" s="85">
        <v>9983</v>
      </c>
      <c r="L19" s="85">
        <v>9983</v>
      </c>
      <c r="M19" s="85">
        <v>9983</v>
      </c>
      <c r="N19" s="88"/>
      <c r="O19" s="41">
        <f t="shared" si="0"/>
        <v>109813</v>
      </c>
      <c r="P19" s="6"/>
      <c r="Q19" s="3" t="s">
        <v>29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82" t="s">
        <v>177</v>
      </c>
      <c r="B20" s="83" t="s">
        <v>178</v>
      </c>
      <c r="C20" s="84">
        <v>7450</v>
      </c>
      <c r="D20" s="85">
        <v>7450</v>
      </c>
      <c r="E20" s="85">
        <v>7450</v>
      </c>
      <c r="F20" s="85">
        <v>7450</v>
      </c>
      <c r="G20" s="85">
        <v>7450</v>
      </c>
      <c r="H20" s="28">
        <v>7450</v>
      </c>
      <c r="I20" s="86">
        <v>7450</v>
      </c>
      <c r="J20" s="85">
        <v>7450</v>
      </c>
      <c r="K20" s="85">
        <v>7450</v>
      </c>
      <c r="L20" s="85">
        <v>7450</v>
      </c>
      <c r="M20" s="85">
        <v>7450</v>
      </c>
      <c r="N20" s="88"/>
      <c r="O20" s="41">
        <f t="shared" si="0"/>
        <v>81950</v>
      </c>
      <c r="P20" s="6"/>
      <c r="Q20" s="90" t="s">
        <v>29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82" t="s">
        <v>179</v>
      </c>
      <c r="B21" s="83" t="s">
        <v>180</v>
      </c>
      <c r="C21" s="84">
        <v>9983</v>
      </c>
      <c r="D21" s="85">
        <v>9983</v>
      </c>
      <c r="E21" s="85">
        <v>9983</v>
      </c>
      <c r="F21" s="85">
        <v>9983</v>
      </c>
      <c r="G21" s="85">
        <v>9983</v>
      </c>
      <c r="H21" s="28">
        <v>9983</v>
      </c>
      <c r="I21" s="86">
        <v>9983</v>
      </c>
      <c r="J21" s="85">
        <v>9983</v>
      </c>
      <c r="K21" s="85">
        <v>9983</v>
      </c>
      <c r="L21" s="85">
        <v>9983</v>
      </c>
      <c r="M21" s="85">
        <v>9983</v>
      </c>
      <c r="N21" s="88"/>
      <c r="O21" s="41">
        <f t="shared" si="0"/>
        <v>109813</v>
      </c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82" t="s">
        <v>181</v>
      </c>
      <c r="B22" s="83" t="s">
        <v>182</v>
      </c>
      <c r="C22" s="84">
        <v>7450</v>
      </c>
      <c r="D22" s="85">
        <v>7450</v>
      </c>
      <c r="E22" s="85">
        <v>7450</v>
      </c>
      <c r="F22" s="85">
        <v>7450</v>
      </c>
      <c r="G22" s="85">
        <v>7450</v>
      </c>
      <c r="H22" s="28">
        <v>7450</v>
      </c>
      <c r="I22" s="93">
        <v>7450</v>
      </c>
      <c r="J22" s="85">
        <v>7450</v>
      </c>
      <c r="K22" s="85">
        <v>7450</v>
      </c>
      <c r="L22" s="85">
        <v>7450</v>
      </c>
      <c r="M22" s="87"/>
      <c r="N22" s="88"/>
      <c r="O22" s="41">
        <f t="shared" si="0"/>
        <v>74500</v>
      </c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82" t="s">
        <v>183</v>
      </c>
      <c r="B23" s="55" t="s">
        <v>184</v>
      </c>
      <c r="C23" s="84">
        <v>7450</v>
      </c>
      <c r="D23" s="85">
        <v>7450</v>
      </c>
      <c r="E23" s="85">
        <v>7450</v>
      </c>
      <c r="F23" s="85">
        <v>7450</v>
      </c>
      <c r="G23" s="85">
        <v>7450</v>
      </c>
      <c r="H23" s="85">
        <v>7450</v>
      </c>
      <c r="I23" s="85">
        <v>7450</v>
      </c>
      <c r="J23" s="85">
        <v>7450</v>
      </c>
      <c r="K23" s="85">
        <v>7450</v>
      </c>
      <c r="L23" s="85">
        <v>7450</v>
      </c>
      <c r="M23" s="85">
        <v>7450</v>
      </c>
      <c r="N23" s="87"/>
      <c r="O23" s="41">
        <f t="shared" si="0"/>
        <v>81950</v>
      </c>
      <c r="P23" s="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82" t="s">
        <v>185</v>
      </c>
      <c r="B24" s="55" t="s">
        <v>186</v>
      </c>
      <c r="C24" s="84">
        <v>7450</v>
      </c>
      <c r="D24" s="85">
        <v>7450</v>
      </c>
      <c r="E24" s="85">
        <v>7450</v>
      </c>
      <c r="F24" s="85">
        <v>7450</v>
      </c>
      <c r="G24" s="85">
        <v>7450</v>
      </c>
      <c r="H24" s="28">
        <v>7450</v>
      </c>
      <c r="I24" s="86">
        <v>7450</v>
      </c>
      <c r="J24" s="85">
        <v>7450</v>
      </c>
      <c r="K24" s="85">
        <v>7450</v>
      </c>
      <c r="L24" s="85">
        <v>7450</v>
      </c>
      <c r="M24" s="85">
        <v>7450</v>
      </c>
      <c r="N24" s="88"/>
      <c r="O24" s="41">
        <f t="shared" si="0"/>
        <v>81950</v>
      </c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82" t="s">
        <v>187</v>
      </c>
      <c r="B25" s="55" t="s">
        <v>188</v>
      </c>
      <c r="C25" s="84">
        <v>7450</v>
      </c>
      <c r="D25" s="85">
        <v>7450</v>
      </c>
      <c r="E25" s="85">
        <v>7450</v>
      </c>
      <c r="F25" s="85">
        <v>7450</v>
      </c>
      <c r="G25" s="85">
        <v>7450</v>
      </c>
      <c r="H25" s="28">
        <v>7450</v>
      </c>
      <c r="I25" s="86">
        <v>7450</v>
      </c>
      <c r="J25" s="85">
        <v>7450</v>
      </c>
      <c r="K25" s="85">
        <v>7450</v>
      </c>
      <c r="L25" s="85">
        <v>7450</v>
      </c>
      <c r="M25" s="85">
        <v>7450</v>
      </c>
      <c r="N25" s="88"/>
      <c r="O25" s="41">
        <f t="shared" si="0"/>
        <v>81950</v>
      </c>
      <c r="P25" s="6"/>
      <c r="Q25" s="1"/>
      <c r="R25" s="1"/>
      <c r="S25" s="1"/>
      <c r="T25" s="94"/>
      <c r="U25" s="1"/>
      <c r="V25" s="1"/>
      <c r="W25" s="1"/>
      <c r="X25" s="1"/>
      <c r="Y25" s="1"/>
      <c r="Z25" s="1"/>
    </row>
    <row r="26" spans="1:26" ht="12.75" customHeight="1">
      <c r="A26" s="82" t="s">
        <v>189</v>
      </c>
      <c r="B26" s="83" t="s">
        <v>190</v>
      </c>
      <c r="C26" s="84">
        <v>9983</v>
      </c>
      <c r="D26" s="84">
        <v>9983</v>
      </c>
      <c r="E26" s="84">
        <v>9983</v>
      </c>
      <c r="F26" s="84">
        <v>9983</v>
      </c>
      <c r="G26" s="85">
        <v>9983</v>
      </c>
      <c r="H26" s="28">
        <v>9983</v>
      </c>
      <c r="I26" s="86">
        <v>9983</v>
      </c>
      <c r="J26" s="85">
        <v>9983</v>
      </c>
      <c r="K26" s="85">
        <v>9983</v>
      </c>
      <c r="L26" s="85">
        <v>9983</v>
      </c>
      <c r="M26" s="85">
        <v>9983</v>
      </c>
      <c r="N26" s="88"/>
      <c r="O26" s="41">
        <f t="shared" si="0"/>
        <v>109813</v>
      </c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95" t="s">
        <v>191</v>
      </c>
      <c r="B27" s="97" t="s">
        <v>192</v>
      </c>
      <c r="C27" s="98">
        <v>8717</v>
      </c>
      <c r="D27" s="99">
        <v>8717</v>
      </c>
      <c r="E27" s="99">
        <v>8717</v>
      </c>
      <c r="F27" s="99">
        <v>8717</v>
      </c>
      <c r="G27" s="99">
        <v>8717</v>
      </c>
      <c r="H27" s="101">
        <v>8717</v>
      </c>
      <c r="I27" s="103">
        <v>8717</v>
      </c>
      <c r="J27" s="99">
        <v>8717</v>
      </c>
      <c r="K27" s="99">
        <v>8717</v>
      </c>
      <c r="L27" s="99">
        <v>8717</v>
      </c>
      <c r="M27" s="99">
        <v>8717</v>
      </c>
      <c r="N27" s="105"/>
      <c r="O27" s="107">
        <f t="shared" si="0"/>
        <v>95887</v>
      </c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82" t="s">
        <v>197</v>
      </c>
      <c r="B28" s="55" t="s">
        <v>198</v>
      </c>
      <c r="C28" s="84">
        <v>8717</v>
      </c>
      <c r="D28" s="85">
        <v>8717</v>
      </c>
      <c r="E28" s="85">
        <v>8717</v>
      </c>
      <c r="F28" s="85">
        <v>8717</v>
      </c>
      <c r="G28" s="85">
        <v>8717</v>
      </c>
      <c r="H28" s="28">
        <v>8717</v>
      </c>
      <c r="I28" s="93">
        <v>8717</v>
      </c>
      <c r="J28" s="85">
        <v>8717</v>
      </c>
      <c r="K28" s="85">
        <v>8717</v>
      </c>
      <c r="L28" s="85">
        <v>8717</v>
      </c>
      <c r="M28" s="85">
        <v>8717</v>
      </c>
      <c r="N28" s="88"/>
      <c r="O28" s="41">
        <f t="shared" si="0"/>
        <v>95887</v>
      </c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82" t="s">
        <v>199</v>
      </c>
      <c r="B29" s="83" t="s">
        <v>200</v>
      </c>
      <c r="C29" s="84">
        <v>7450</v>
      </c>
      <c r="D29" s="85">
        <v>7450</v>
      </c>
      <c r="E29" s="85">
        <v>7450</v>
      </c>
      <c r="F29" s="85">
        <v>7450</v>
      </c>
      <c r="G29" s="85">
        <v>7450</v>
      </c>
      <c r="H29" s="28">
        <v>7450</v>
      </c>
      <c r="I29" s="86">
        <v>7450</v>
      </c>
      <c r="J29" s="85">
        <v>7450</v>
      </c>
      <c r="K29" s="85">
        <v>7450</v>
      </c>
      <c r="L29" s="85">
        <v>7450</v>
      </c>
      <c r="M29" s="85">
        <v>7450</v>
      </c>
      <c r="N29" s="88"/>
      <c r="O29" s="41">
        <f t="shared" si="0"/>
        <v>81950</v>
      </c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82" t="s">
        <v>202</v>
      </c>
      <c r="B30" s="83" t="s">
        <v>203</v>
      </c>
      <c r="C30" s="84">
        <v>7450</v>
      </c>
      <c r="D30" s="85">
        <v>7450</v>
      </c>
      <c r="E30" s="85">
        <v>7450</v>
      </c>
      <c r="F30" s="85">
        <v>7450</v>
      </c>
      <c r="G30" s="85">
        <v>7450</v>
      </c>
      <c r="H30" s="85">
        <v>7450</v>
      </c>
      <c r="I30" s="85">
        <v>7450</v>
      </c>
      <c r="J30" s="85">
        <v>7450</v>
      </c>
      <c r="K30" s="85">
        <v>7450</v>
      </c>
      <c r="L30" s="85">
        <v>7450</v>
      </c>
      <c r="M30" s="85">
        <v>7450</v>
      </c>
      <c r="N30" s="25">
        <v>7450</v>
      </c>
      <c r="O30" s="41">
        <f t="shared" si="0"/>
        <v>89400</v>
      </c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82" t="s">
        <v>204</v>
      </c>
      <c r="B31" s="83" t="s">
        <v>190</v>
      </c>
      <c r="C31" s="84">
        <v>7450</v>
      </c>
      <c r="D31" s="84">
        <v>7450</v>
      </c>
      <c r="E31" s="84">
        <v>7450</v>
      </c>
      <c r="F31" s="84">
        <v>7450</v>
      </c>
      <c r="G31" s="85">
        <v>7450</v>
      </c>
      <c r="H31" s="28">
        <v>7450</v>
      </c>
      <c r="I31" s="86">
        <v>7450</v>
      </c>
      <c r="J31" s="85">
        <v>7450</v>
      </c>
      <c r="K31" s="85">
        <v>7450</v>
      </c>
      <c r="L31" s="85">
        <v>7450</v>
      </c>
      <c r="M31" s="85">
        <v>7450</v>
      </c>
      <c r="N31" s="88"/>
      <c r="O31" s="41">
        <f t="shared" si="0"/>
        <v>81950</v>
      </c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82" t="s">
        <v>205</v>
      </c>
      <c r="B32" s="83" t="s">
        <v>206</v>
      </c>
      <c r="C32" s="84">
        <v>7450</v>
      </c>
      <c r="D32" s="85">
        <v>7450</v>
      </c>
      <c r="E32" s="85">
        <v>7450</v>
      </c>
      <c r="F32" s="85">
        <v>7450</v>
      </c>
      <c r="G32" s="85">
        <v>7450</v>
      </c>
      <c r="H32" s="28">
        <v>7450</v>
      </c>
      <c r="I32" s="86">
        <v>7450</v>
      </c>
      <c r="J32" s="85">
        <v>7450</v>
      </c>
      <c r="K32" s="85">
        <v>7450</v>
      </c>
      <c r="L32" s="85">
        <v>7450</v>
      </c>
      <c r="M32" s="85">
        <v>7450</v>
      </c>
      <c r="N32" s="88"/>
      <c r="O32" s="41">
        <f t="shared" si="0"/>
        <v>81950</v>
      </c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82" t="s">
        <v>207</v>
      </c>
      <c r="B33" s="83" t="s">
        <v>208</v>
      </c>
      <c r="C33" s="84">
        <v>7450</v>
      </c>
      <c r="D33" s="85">
        <v>7450</v>
      </c>
      <c r="E33" s="85">
        <v>7450</v>
      </c>
      <c r="F33" s="85">
        <v>7450</v>
      </c>
      <c r="G33" s="85">
        <v>7450</v>
      </c>
      <c r="H33" s="28">
        <v>7450</v>
      </c>
      <c r="I33" s="86">
        <v>7450</v>
      </c>
      <c r="J33" s="85">
        <v>7450</v>
      </c>
      <c r="K33" s="85">
        <v>7450</v>
      </c>
      <c r="L33" s="85">
        <v>7450</v>
      </c>
      <c r="M33" s="85">
        <v>7450</v>
      </c>
      <c r="N33" s="25">
        <v>7450</v>
      </c>
      <c r="O33" s="41">
        <f t="shared" si="0"/>
        <v>89400</v>
      </c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82" t="s">
        <v>209</v>
      </c>
      <c r="B34" s="83" t="s">
        <v>210</v>
      </c>
      <c r="C34" s="84">
        <v>7450</v>
      </c>
      <c r="D34" s="85">
        <v>7450</v>
      </c>
      <c r="E34" s="85">
        <v>7450</v>
      </c>
      <c r="F34" s="85">
        <v>7450</v>
      </c>
      <c r="G34" s="85">
        <v>7450</v>
      </c>
      <c r="H34" s="28">
        <v>7450</v>
      </c>
      <c r="I34" s="86">
        <v>7450</v>
      </c>
      <c r="J34" s="85">
        <v>7450</v>
      </c>
      <c r="K34" s="85">
        <v>7450</v>
      </c>
      <c r="L34" s="85">
        <v>7450</v>
      </c>
      <c r="M34" s="85">
        <v>7450</v>
      </c>
      <c r="N34" s="88"/>
      <c r="O34" s="41">
        <f t="shared" si="0"/>
        <v>81950</v>
      </c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82" t="s">
        <v>211</v>
      </c>
      <c r="B35" s="83" t="s">
        <v>212</v>
      </c>
      <c r="C35" s="84">
        <v>7450</v>
      </c>
      <c r="D35" s="85">
        <v>7450</v>
      </c>
      <c r="E35" s="85">
        <v>7450</v>
      </c>
      <c r="F35" s="85">
        <v>7450</v>
      </c>
      <c r="G35" s="85">
        <v>7450</v>
      </c>
      <c r="H35" s="28">
        <v>7450</v>
      </c>
      <c r="I35" s="86">
        <v>7450</v>
      </c>
      <c r="J35" s="85">
        <v>7450</v>
      </c>
      <c r="K35" s="85">
        <v>7450</v>
      </c>
      <c r="L35" s="85">
        <v>7450</v>
      </c>
      <c r="M35" s="85">
        <v>7450</v>
      </c>
      <c r="N35" s="25"/>
      <c r="O35" s="41">
        <f t="shared" si="0"/>
        <v>81950</v>
      </c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82" t="s">
        <v>213</v>
      </c>
      <c r="B36" s="83" t="s">
        <v>214</v>
      </c>
      <c r="C36" s="84">
        <v>9983</v>
      </c>
      <c r="D36" s="85">
        <v>9983</v>
      </c>
      <c r="E36" s="85">
        <v>9983</v>
      </c>
      <c r="F36" s="85">
        <v>9983</v>
      </c>
      <c r="G36" s="85">
        <v>9983</v>
      </c>
      <c r="H36" s="28">
        <v>9983</v>
      </c>
      <c r="I36" s="110"/>
      <c r="J36" s="87"/>
      <c r="K36" s="85"/>
      <c r="L36" s="85"/>
      <c r="M36" s="85"/>
      <c r="N36" s="88"/>
      <c r="O36" s="41">
        <f t="shared" si="0"/>
        <v>59898</v>
      </c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82" t="s">
        <v>216</v>
      </c>
      <c r="B37" s="83" t="s">
        <v>217</v>
      </c>
      <c r="C37" s="84">
        <v>7450</v>
      </c>
      <c r="D37" s="85">
        <v>7450</v>
      </c>
      <c r="E37" s="85">
        <v>7450</v>
      </c>
      <c r="F37" s="85">
        <v>7450</v>
      </c>
      <c r="G37" s="85">
        <v>7450</v>
      </c>
      <c r="H37" s="28">
        <v>7450</v>
      </c>
      <c r="I37" s="86">
        <v>7450</v>
      </c>
      <c r="J37" s="85">
        <v>7450</v>
      </c>
      <c r="K37" s="85">
        <v>7450</v>
      </c>
      <c r="L37" s="85">
        <v>7450</v>
      </c>
      <c r="M37" s="85">
        <v>7450</v>
      </c>
      <c r="N37" s="88"/>
      <c r="O37" s="41">
        <f t="shared" si="0"/>
        <v>81950</v>
      </c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82" t="s">
        <v>218</v>
      </c>
      <c r="B38" s="83" t="s">
        <v>219</v>
      </c>
      <c r="C38" s="84">
        <v>8717</v>
      </c>
      <c r="D38" s="85">
        <v>8717</v>
      </c>
      <c r="E38" s="85">
        <v>8717</v>
      </c>
      <c r="F38" s="85">
        <v>8717</v>
      </c>
      <c r="G38" s="85">
        <v>8717</v>
      </c>
      <c r="H38" s="28">
        <v>8717</v>
      </c>
      <c r="I38" s="86">
        <v>8717</v>
      </c>
      <c r="J38" s="85">
        <v>8717</v>
      </c>
      <c r="K38" s="85">
        <v>8717</v>
      </c>
      <c r="L38" s="85">
        <v>8717</v>
      </c>
      <c r="M38" s="85">
        <v>8717</v>
      </c>
      <c r="N38" s="25"/>
      <c r="O38" s="41">
        <f t="shared" si="0"/>
        <v>95887</v>
      </c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2" t="s">
        <v>221</v>
      </c>
      <c r="B39" s="83" t="s">
        <v>222</v>
      </c>
      <c r="C39" s="84">
        <v>8717</v>
      </c>
      <c r="D39" s="85">
        <v>8717</v>
      </c>
      <c r="E39" s="85">
        <v>8717</v>
      </c>
      <c r="F39" s="85">
        <v>8717</v>
      </c>
      <c r="G39" s="85">
        <v>8717</v>
      </c>
      <c r="H39" s="28">
        <v>8717</v>
      </c>
      <c r="I39" s="86">
        <v>8717</v>
      </c>
      <c r="J39" s="85">
        <v>8717</v>
      </c>
      <c r="K39" s="85">
        <v>8717</v>
      </c>
      <c r="L39" s="85">
        <v>8717</v>
      </c>
      <c r="M39" s="85">
        <v>8717</v>
      </c>
      <c r="N39" s="88"/>
      <c r="O39" s="41">
        <f t="shared" si="0"/>
        <v>95887</v>
      </c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82" t="s">
        <v>224</v>
      </c>
      <c r="B40" s="83" t="s">
        <v>222</v>
      </c>
      <c r="C40" s="84">
        <v>7450</v>
      </c>
      <c r="D40" s="84">
        <v>7450</v>
      </c>
      <c r="E40" s="84">
        <v>7450</v>
      </c>
      <c r="F40" s="84">
        <v>7450</v>
      </c>
      <c r="G40" s="85">
        <v>7450</v>
      </c>
      <c r="H40" s="28">
        <v>7450</v>
      </c>
      <c r="I40" s="93">
        <v>7450</v>
      </c>
      <c r="J40" s="85">
        <v>7450</v>
      </c>
      <c r="K40" s="85">
        <v>7450</v>
      </c>
      <c r="L40" s="85">
        <v>7450</v>
      </c>
      <c r="M40" s="85">
        <v>7450</v>
      </c>
      <c r="N40" s="25">
        <v>7450</v>
      </c>
      <c r="O40" s="41">
        <f t="shared" si="0"/>
        <v>89400</v>
      </c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2" t="s">
        <v>225</v>
      </c>
      <c r="B41" s="83" t="s">
        <v>226</v>
      </c>
      <c r="C41" s="84">
        <v>7450</v>
      </c>
      <c r="D41" s="85">
        <v>7450</v>
      </c>
      <c r="E41" s="85">
        <v>7450</v>
      </c>
      <c r="F41" s="85">
        <v>7450</v>
      </c>
      <c r="G41" s="85">
        <v>7450</v>
      </c>
      <c r="H41" s="28">
        <v>7450</v>
      </c>
      <c r="I41" s="86">
        <v>7450</v>
      </c>
      <c r="J41" s="85">
        <v>7450</v>
      </c>
      <c r="K41" s="85">
        <v>7450</v>
      </c>
      <c r="L41" s="85">
        <v>7450</v>
      </c>
      <c r="M41" s="85">
        <v>7450</v>
      </c>
      <c r="N41" s="25">
        <v>7450</v>
      </c>
      <c r="O41" s="41">
        <f t="shared" si="0"/>
        <v>89400</v>
      </c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15" t="s">
        <v>227</v>
      </c>
      <c r="B42" s="116" t="s">
        <v>228</v>
      </c>
      <c r="C42" s="117">
        <v>7450</v>
      </c>
      <c r="D42" s="118">
        <v>7450</v>
      </c>
      <c r="E42" s="118">
        <v>7450</v>
      </c>
      <c r="F42" s="118">
        <v>7450</v>
      </c>
      <c r="G42" s="118">
        <v>7450</v>
      </c>
      <c r="H42" s="119">
        <v>7450</v>
      </c>
      <c r="I42" s="121">
        <v>7450</v>
      </c>
      <c r="J42" s="118">
        <v>7450</v>
      </c>
      <c r="K42" s="118">
        <v>7450</v>
      </c>
      <c r="L42" s="118"/>
      <c r="M42" s="118"/>
      <c r="N42" s="122"/>
      <c r="O42" s="41">
        <f t="shared" si="0"/>
        <v>67050</v>
      </c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24"/>
      <c r="B43" s="59" t="s">
        <v>53</v>
      </c>
      <c r="C43" s="41">
        <f t="shared" ref="C43:O43" si="1">SUM(C3:C42)</f>
        <v>338530</v>
      </c>
      <c r="D43" s="41">
        <f t="shared" si="1"/>
        <v>338530</v>
      </c>
      <c r="E43" s="41">
        <f t="shared" si="1"/>
        <v>338530</v>
      </c>
      <c r="F43" s="41">
        <f t="shared" si="1"/>
        <v>338530</v>
      </c>
      <c r="G43" s="41">
        <f t="shared" si="1"/>
        <v>338530</v>
      </c>
      <c r="H43" s="41">
        <f t="shared" si="1"/>
        <v>338530</v>
      </c>
      <c r="I43" s="42">
        <f t="shared" si="1"/>
        <v>321097</v>
      </c>
      <c r="J43" s="41">
        <f t="shared" si="1"/>
        <v>321097</v>
      </c>
      <c r="K43" s="41">
        <f t="shared" si="1"/>
        <v>321097</v>
      </c>
      <c r="L43" s="41">
        <f t="shared" si="1"/>
        <v>313647</v>
      </c>
      <c r="M43" s="41">
        <f t="shared" si="1"/>
        <v>266265</v>
      </c>
      <c r="N43" s="128">
        <f t="shared" si="1"/>
        <v>44700</v>
      </c>
      <c r="O43" s="41">
        <f t="shared" si="1"/>
        <v>3619083</v>
      </c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6"/>
      <c r="B44" s="32" t="s">
        <v>29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6"/>
      <c r="B45" s="6"/>
      <c r="C45" s="26" t="s">
        <v>29</v>
      </c>
      <c r="D45" s="6"/>
      <c r="E45" s="6"/>
      <c r="F45" s="6"/>
      <c r="G45" s="26" t="s">
        <v>29</v>
      </c>
      <c r="H45" s="6"/>
      <c r="I45" s="26" t="s">
        <v>29</v>
      </c>
      <c r="J45" s="26" t="s">
        <v>29</v>
      </c>
      <c r="K45" s="6"/>
      <c r="L45" s="6"/>
      <c r="M45" s="6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6"/>
      <c r="B46" s="6"/>
      <c r="C46" s="6" t="s">
        <v>29</v>
      </c>
      <c r="D46" s="6" t="s">
        <v>29</v>
      </c>
      <c r="E46" s="2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6"/>
      <c r="B47" s="6"/>
      <c r="C47" s="26" t="s">
        <v>29</v>
      </c>
      <c r="D47" s="6"/>
      <c r="E47" s="6"/>
      <c r="F47" s="2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6"/>
      <c r="B48" s="6"/>
      <c r="C48" s="6" t="s">
        <v>29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6"/>
      <c r="B49" s="6"/>
      <c r="C49" s="26" t="s">
        <v>29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"/>
      <c r="B53" s="3"/>
      <c r="C53" s="3"/>
      <c r="D53" s="1"/>
      <c r="E53" s="1"/>
      <c r="F53" s="1"/>
      <c r="G53" s="1"/>
      <c r="H53" s="1"/>
      <c r="I53" s="1"/>
      <c r="J53" s="3"/>
      <c r="K53" s="1"/>
      <c r="L53" s="1"/>
      <c r="M53" s="1"/>
      <c r="N53" s="1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R4">
    <cfRule type="notContainsBlanks" dxfId="0" priority="1">
      <formula>LEN(TRIM(R4))&gt;0</formula>
    </cfRule>
  </conditionalFormatting>
  <printOptions horizontalCentered="1" gridLines="1"/>
  <pageMargins left="0.25" right="0.25" top="0.17906452351955243" bottom="0.3402225946871496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U964"/>
  <sheetViews>
    <sheetView tabSelected="1" workbookViewId="0">
      <pane xSplit="2" ySplit="4" topLeftCell="CV5" activePane="bottomRight" state="frozen"/>
      <selection pane="topRight" activeCell="C1" sqref="C1"/>
      <selection pane="bottomLeft" activeCell="A5" sqref="A5"/>
      <selection pane="bottomRight" activeCell="DK9" sqref="DK9"/>
    </sheetView>
  </sheetViews>
  <sheetFormatPr defaultColWidth="14.42578125" defaultRowHeight="15" customHeight="1"/>
  <cols>
    <col min="1" max="1" width="10.140625" customWidth="1"/>
    <col min="2" max="2" width="35.42578125" customWidth="1"/>
    <col min="3" max="3" width="7.140625" customWidth="1"/>
    <col min="4" max="4" width="10.28515625" customWidth="1"/>
    <col min="5" max="5" width="8.7109375" customWidth="1"/>
    <col min="6" max="6" width="10.7109375" customWidth="1"/>
    <col min="7" max="7" width="7.42578125" customWidth="1"/>
    <col min="8" max="8" width="10.85546875" customWidth="1"/>
    <col min="9" max="9" width="8.28515625" customWidth="1"/>
    <col min="10" max="10" width="9.85546875" customWidth="1"/>
    <col min="11" max="11" width="10.28515625" customWidth="1"/>
    <col min="12" max="12" width="9.5703125" customWidth="1"/>
    <col min="13" max="13" width="7" customWidth="1"/>
    <col min="14" max="14" width="10.85546875" customWidth="1"/>
    <col min="15" max="15" width="8.28515625" customWidth="1"/>
    <col min="16" max="16" width="13" customWidth="1"/>
    <col min="17" max="17" width="7.5703125" customWidth="1"/>
    <col min="18" max="18" width="10.140625" customWidth="1"/>
    <col min="19" max="19" width="8.42578125" customWidth="1"/>
    <col min="20" max="20" width="11.42578125" customWidth="1"/>
    <col min="21" max="22" width="11.140625" customWidth="1"/>
    <col min="23" max="23" width="6.85546875" customWidth="1"/>
    <col min="24" max="24" width="10.28515625" customWidth="1"/>
    <col min="25" max="25" width="7.28515625" customWidth="1"/>
    <col min="26" max="26" width="12.42578125" customWidth="1"/>
    <col min="27" max="27" width="6.7109375" customWidth="1"/>
    <col min="28" max="28" width="10" customWidth="1"/>
    <col min="29" max="29" width="7.7109375" customWidth="1"/>
    <col min="30" max="30" width="12.85546875" customWidth="1"/>
    <col min="31" max="31" width="11.85546875" customWidth="1"/>
    <col min="32" max="32" width="10.42578125" customWidth="1"/>
    <col min="33" max="33" width="6.42578125" customWidth="1"/>
    <col min="34" max="34" width="9.5703125" customWidth="1"/>
    <col min="35" max="35" width="7.140625" customWidth="1"/>
    <col min="36" max="36" width="11.85546875" customWidth="1"/>
    <col min="37" max="37" width="6.5703125" customWidth="1"/>
    <col min="38" max="38" width="9.85546875" customWidth="1"/>
    <col min="39" max="39" width="8.140625" customWidth="1"/>
    <col min="40" max="40" width="11.140625" customWidth="1"/>
    <col min="41" max="41" width="13" customWidth="1"/>
    <col min="42" max="42" width="10" customWidth="1"/>
    <col min="43" max="43" width="6.5703125" customWidth="1"/>
    <col min="44" max="44" width="9.7109375" customWidth="1"/>
    <col min="45" max="45" width="7.42578125" customWidth="1"/>
    <col min="46" max="46" width="11.7109375" customWidth="1"/>
    <col min="47" max="47" width="6.5703125" customWidth="1"/>
    <col min="48" max="48" width="9.85546875" customWidth="1"/>
    <col min="49" max="49" width="7.42578125" customWidth="1"/>
    <col min="50" max="50" width="10.7109375" customWidth="1"/>
    <col min="51" max="51" width="12" customWidth="1"/>
    <col min="52" max="52" width="9.28515625" customWidth="1"/>
    <col min="53" max="53" width="7.28515625" customWidth="1"/>
    <col min="54" max="54" width="9.28515625" customWidth="1"/>
    <col min="55" max="55" width="7.42578125" customWidth="1"/>
    <col min="56" max="56" width="12.7109375" customWidth="1"/>
    <col min="57" max="57" width="8.28515625" customWidth="1"/>
    <col min="58" max="58" width="9.7109375" customWidth="1"/>
    <col min="59" max="59" width="7.7109375" customWidth="1"/>
    <col min="60" max="60" width="10.140625" customWidth="1"/>
    <col min="61" max="61" width="12.5703125" customWidth="1"/>
    <col min="62" max="62" width="9.28515625" customWidth="1"/>
    <col min="63" max="65" width="8" customWidth="1"/>
    <col min="66" max="66" width="12" customWidth="1"/>
    <col min="67" max="69" width="8" customWidth="1"/>
    <col min="70" max="70" width="10.5703125" customWidth="1"/>
    <col min="71" max="71" width="12.140625" customWidth="1"/>
    <col min="72" max="72" width="10.85546875" customWidth="1"/>
    <col min="73" max="73" width="7.42578125" customWidth="1"/>
    <col min="74" max="75" width="8" customWidth="1"/>
    <col min="76" max="76" width="11" customWidth="1"/>
    <col min="77" max="77" width="7.28515625" customWidth="1"/>
    <col min="78" max="79" width="8" customWidth="1"/>
    <col min="80" max="80" width="10.28515625" customWidth="1"/>
    <col min="81" max="81" width="11.140625" customWidth="1"/>
    <col min="82" max="85" width="8" customWidth="1"/>
    <col min="86" max="86" width="12.5703125" customWidth="1"/>
    <col min="87" max="89" width="8" customWidth="1"/>
    <col min="90" max="90" width="10.85546875" customWidth="1"/>
    <col min="91" max="91" width="12" customWidth="1"/>
    <col min="92" max="95" width="8" customWidth="1"/>
    <col min="96" max="96" width="12.5703125" customWidth="1"/>
    <col min="97" max="99" width="8" customWidth="1"/>
    <col min="100" max="100" width="11.7109375" customWidth="1"/>
    <col min="101" max="101" width="13" customWidth="1"/>
    <col min="102" max="110" width="8" customWidth="1"/>
    <col min="111" max="111" width="9.28515625" customWidth="1"/>
    <col min="112" max="122" width="8" customWidth="1"/>
    <col min="123" max="123" width="12" customWidth="1"/>
    <col min="124" max="124" width="10.42578125" customWidth="1"/>
    <col min="125" max="125" width="11.5703125" customWidth="1"/>
  </cols>
  <sheetData>
    <row r="1" spans="1:125" ht="13.5" customHeight="1">
      <c r="A1" s="32"/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29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26" t="s">
        <v>29</v>
      </c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13.5" customHeight="1">
      <c r="A2" s="6"/>
      <c r="B2" s="6"/>
      <c r="C2" s="181" t="s">
        <v>134</v>
      </c>
      <c r="D2" s="182"/>
      <c r="E2" s="182"/>
      <c r="F2" s="182"/>
      <c r="G2" s="182"/>
      <c r="H2" s="182"/>
      <c r="I2" s="182"/>
      <c r="J2" s="182"/>
      <c r="K2" s="182"/>
      <c r="L2" s="183"/>
      <c r="M2" s="181" t="s">
        <v>135</v>
      </c>
      <c r="N2" s="182"/>
      <c r="O2" s="182"/>
      <c r="P2" s="182"/>
      <c r="Q2" s="182"/>
      <c r="R2" s="182"/>
      <c r="S2" s="182"/>
      <c r="T2" s="182"/>
      <c r="U2" s="182"/>
      <c r="V2" s="183"/>
      <c r="W2" s="181" t="s">
        <v>136</v>
      </c>
      <c r="X2" s="182"/>
      <c r="Y2" s="182"/>
      <c r="Z2" s="182"/>
      <c r="AA2" s="182"/>
      <c r="AB2" s="182"/>
      <c r="AC2" s="182"/>
      <c r="AD2" s="182"/>
      <c r="AE2" s="182"/>
      <c r="AF2" s="183"/>
      <c r="AG2" s="181" t="s">
        <v>137</v>
      </c>
      <c r="AH2" s="182"/>
      <c r="AI2" s="182"/>
      <c r="AJ2" s="182"/>
      <c r="AK2" s="182"/>
      <c r="AL2" s="182"/>
      <c r="AM2" s="182"/>
      <c r="AN2" s="182"/>
      <c r="AO2" s="182"/>
      <c r="AP2" s="183"/>
      <c r="AQ2" s="181" t="s">
        <v>138</v>
      </c>
      <c r="AR2" s="182"/>
      <c r="AS2" s="182"/>
      <c r="AT2" s="182"/>
      <c r="AU2" s="182"/>
      <c r="AV2" s="182"/>
      <c r="AW2" s="182"/>
      <c r="AX2" s="182"/>
      <c r="AY2" s="182"/>
      <c r="AZ2" s="183"/>
      <c r="BA2" s="181" t="s">
        <v>139</v>
      </c>
      <c r="BB2" s="182"/>
      <c r="BC2" s="182"/>
      <c r="BD2" s="182"/>
      <c r="BE2" s="182"/>
      <c r="BF2" s="182"/>
      <c r="BG2" s="182"/>
      <c r="BH2" s="182"/>
      <c r="BI2" s="182"/>
      <c r="BJ2" s="183"/>
      <c r="BK2" s="181" t="s">
        <v>142</v>
      </c>
      <c r="BL2" s="182"/>
      <c r="BM2" s="182"/>
      <c r="BN2" s="182"/>
      <c r="BO2" s="182"/>
      <c r="BP2" s="182"/>
      <c r="BQ2" s="182"/>
      <c r="BR2" s="182"/>
      <c r="BS2" s="182"/>
      <c r="BT2" s="183"/>
      <c r="BU2" s="181" t="s">
        <v>145</v>
      </c>
      <c r="BV2" s="182"/>
      <c r="BW2" s="182"/>
      <c r="BX2" s="182"/>
      <c r="BY2" s="182"/>
      <c r="BZ2" s="182"/>
      <c r="CA2" s="182"/>
      <c r="CB2" s="182"/>
      <c r="CC2" s="182"/>
      <c r="CD2" s="183"/>
      <c r="CE2" s="181" t="s">
        <v>146</v>
      </c>
      <c r="CF2" s="182"/>
      <c r="CG2" s="182"/>
      <c r="CH2" s="182"/>
      <c r="CI2" s="182"/>
      <c r="CJ2" s="182"/>
      <c r="CK2" s="182"/>
      <c r="CL2" s="182"/>
      <c r="CM2" s="182"/>
      <c r="CN2" s="183"/>
      <c r="CO2" s="181" t="s">
        <v>149</v>
      </c>
      <c r="CP2" s="182"/>
      <c r="CQ2" s="182"/>
      <c r="CR2" s="182"/>
      <c r="CS2" s="182"/>
      <c r="CT2" s="182"/>
      <c r="CU2" s="182"/>
      <c r="CV2" s="182"/>
      <c r="CW2" s="182"/>
      <c r="CX2" s="183"/>
      <c r="CY2" s="181" t="s">
        <v>235</v>
      </c>
      <c r="CZ2" s="182"/>
      <c r="DA2" s="182"/>
      <c r="DB2" s="182"/>
      <c r="DC2" s="182"/>
      <c r="DD2" s="182"/>
      <c r="DE2" s="182"/>
      <c r="DF2" s="182"/>
      <c r="DG2" s="182"/>
      <c r="DH2" s="183"/>
      <c r="DI2" s="181" t="s">
        <v>129</v>
      </c>
      <c r="DJ2" s="182"/>
      <c r="DK2" s="182"/>
      <c r="DL2" s="182"/>
      <c r="DM2" s="182"/>
      <c r="DN2" s="182"/>
      <c r="DO2" s="182"/>
      <c r="DP2" s="182"/>
      <c r="DQ2" s="182"/>
      <c r="DR2" s="183"/>
      <c r="DS2" s="176">
        <v>2019</v>
      </c>
      <c r="DT2" s="178"/>
      <c r="DU2" s="6"/>
    </row>
    <row r="3" spans="1:125" ht="13.5" customHeight="1">
      <c r="A3" s="67">
        <v>2019</v>
      </c>
      <c r="B3" s="6"/>
      <c r="C3" s="176" t="s">
        <v>158</v>
      </c>
      <c r="D3" s="177"/>
      <c r="E3" s="177"/>
      <c r="F3" s="178"/>
      <c r="G3" s="176" t="s">
        <v>164</v>
      </c>
      <c r="H3" s="177"/>
      <c r="I3" s="177"/>
      <c r="J3" s="178"/>
      <c r="K3" s="91"/>
      <c r="L3" s="92"/>
      <c r="M3" s="176" t="s">
        <v>158</v>
      </c>
      <c r="N3" s="177"/>
      <c r="O3" s="177"/>
      <c r="P3" s="178"/>
      <c r="Q3" s="176" t="s">
        <v>164</v>
      </c>
      <c r="R3" s="177"/>
      <c r="S3" s="177"/>
      <c r="T3" s="178"/>
      <c r="U3" s="91"/>
      <c r="V3" s="91"/>
      <c r="W3" s="176" t="s">
        <v>158</v>
      </c>
      <c r="X3" s="177"/>
      <c r="Y3" s="177"/>
      <c r="Z3" s="178"/>
      <c r="AA3" s="176" t="s">
        <v>164</v>
      </c>
      <c r="AB3" s="177"/>
      <c r="AC3" s="177"/>
      <c r="AD3" s="178"/>
      <c r="AE3" s="91"/>
      <c r="AF3" s="91"/>
      <c r="AG3" s="176" t="s">
        <v>158</v>
      </c>
      <c r="AH3" s="177"/>
      <c r="AI3" s="177"/>
      <c r="AJ3" s="178"/>
      <c r="AK3" s="176" t="s">
        <v>164</v>
      </c>
      <c r="AL3" s="177"/>
      <c r="AM3" s="177"/>
      <c r="AN3" s="178"/>
      <c r="AO3" s="91"/>
      <c r="AP3" s="91"/>
      <c r="AQ3" s="176" t="s">
        <v>158</v>
      </c>
      <c r="AR3" s="177"/>
      <c r="AS3" s="177"/>
      <c r="AT3" s="178"/>
      <c r="AU3" s="176" t="s">
        <v>164</v>
      </c>
      <c r="AV3" s="177"/>
      <c r="AW3" s="177"/>
      <c r="AX3" s="178"/>
      <c r="AY3" s="91"/>
      <c r="AZ3" s="91"/>
      <c r="BA3" s="176" t="s">
        <v>158</v>
      </c>
      <c r="BB3" s="177"/>
      <c r="BC3" s="177"/>
      <c r="BD3" s="178"/>
      <c r="BE3" s="176" t="s">
        <v>164</v>
      </c>
      <c r="BF3" s="177"/>
      <c r="BG3" s="177"/>
      <c r="BH3" s="178"/>
      <c r="BI3" s="91"/>
      <c r="BJ3" s="91"/>
      <c r="BK3" s="176" t="s">
        <v>158</v>
      </c>
      <c r="BL3" s="177"/>
      <c r="BM3" s="177"/>
      <c r="BN3" s="178"/>
      <c r="BO3" s="176" t="s">
        <v>164</v>
      </c>
      <c r="BP3" s="177"/>
      <c r="BQ3" s="177"/>
      <c r="BR3" s="178"/>
      <c r="BS3" s="91"/>
      <c r="BT3" s="91"/>
      <c r="BU3" s="176" t="s">
        <v>158</v>
      </c>
      <c r="BV3" s="177"/>
      <c r="BW3" s="177"/>
      <c r="BX3" s="178"/>
      <c r="BY3" s="176" t="s">
        <v>164</v>
      </c>
      <c r="BZ3" s="177"/>
      <c r="CA3" s="177"/>
      <c r="CB3" s="178"/>
      <c r="CC3" s="91"/>
      <c r="CD3" s="91"/>
      <c r="CE3" s="176" t="s">
        <v>158</v>
      </c>
      <c r="CF3" s="177"/>
      <c r="CG3" s="177"/>
      <c r="CH3" s="178"/>
      <c r="CI3" s="176" t="s">
        <v>164</v>
      </c>
      <c r="CJ3" s="177"/>
      <c r="CK3" s="177"/>
      <c r="CL3" s="178"/>
      <c r="CM3" s="91"/>
      <c r="CN3" s="91"/>
      <c r="CO3" s="176" t="s">
        <v>158</v>
      </c>
      <c r="CP3" s="177"/>
      <c r="CQ3" s="177"/>
      <c r="CR3" s="178"/>
      <c r="CS3" s="176" t="s">
        <v>164</v>
      </c>
      <c r="CT3" s="177"/>
      <c r="CU3" s="177"/>
      <c r="CV3" s="178"/>
      <c r="CW3" s="91"/>
      <c r="CX3" s="91"/>
      <c r="CY3" s="176" t="s">
        <v>158</v>
      </c>
      <c r="CZ3" s="177"/>
      <c r="DA3" s="177"/>
      <c r="DB3" s="178"/>
      <c r="DC3" s="176" t="s">
        <v>164</v>
      </c>
      <c r="DD3" s="177"/>
      <c r="DE3" s="177"/>
      <c r="DF3" s="178"/>
      <c r="DG3" s="91"/>
      <c r="DH3" s="96"/>
      <c r="DI3" s="176" t="s">
        <v>158</v>
      </c>
      <c r="DJ3" s="177"/>
      <c r="DK3" s="177"/>
      <c r="DL3" s="178"/>
      <c r="DM3" s="176" t="s">
        <v>164</v>
      </c>
      <c r="DN3" s="177"/>
      <c r="DO3" s="177"/>
      <c r="DP3" s="178"/>
      <c r="DQ3" s="91"/>
      <c r="DR3" s="91"/>
      <c r="DS3" s="179" t="s">
        <v>53</v>
      </c>
      <c r="DT3" s="180"/>
      <c r="DU3" s="6"/>
    </row>
    <row r="4" spans="1:125" ht="13.5" customHeight="1">
      <c r="A4" s="13" t="s">
        <v>116</v>
      </c>
      <c r="B4" s="100" t="s">
        <v>117</v>
      </c>
      <c r="C4" s="102" t="s">
        <v>193</v>
      </c>
      <c r="D4" s="104" t="s">
        <v>194</v>
      </c>
      <c r="E4" s="104" t="s">
        <v>195</v>
      </c>
      <c r="F4" s="106" t="s">
        <v>196</v>
      </c>
      <c r="G4" s="102" t="s">
        <v>193</v>
      </c>
      <c r="H4" s="104" t="s">
        <v>194</v>
      </c>
      <c r="I4" s="104" t="s">
        <v>195</v>
      </c>
      <c r="J4" s="106" t="s">
        <v>196</v>
      </c>
      <c r="K4" s="108" t="s">
        <v>130</v>
      </c>
      <c r="L4" s="109" t="s">
        <v>201</v>
      </c>
      <c r="M4" s="102" t="s">
        <v>193</v>
      </c>
      <c r="N4" s="104" t="s">
        <v>194</v>
      </c>
      <c r="O4" s="104" t="s">
        <v>195</v>
      </c>
      <c r="P4" s="106" t="s">
        <v>196</v>
      </c>
      <c r="Q4" s="102" t="s">
        <v>193</v>
      </c>
      <c r="R4" s="104" t="s">
        <v>194</v>
      </c>
      <c r="S4" s="104" t="s">
        <v>195</v>
      </c>
      <c r="T4" s="106" t="s">
        <v>196</v>
      </c>
      <c r="U4" s="108" t="s">
        <v>130</v>
      </c>
      <c r="V4" s="108" t="s">
        <v>201</v>
      </c>
      <c r="W4" s="102" t="s">
        <v>193</v>
      </c>
      <c r="X4" s="104" t="s">
        <v>194</v>
      </c>
      <c r="Y4" s="104" t="s">
        <v>195</v>
      </c>
      <c r="Z4" s="106" t="s">
        <v>196</v>
      </c>
      <c r="AA4" s="102" t="s">
        <v>193</v>
      </c>
      <c r="AB4" s="104" t="s">
        <v>194</v>
      </c>
      <c r="AC4" s="104" t="s">
        <v>195</v>
      </c>
      <c r="AD4" s="106" t="s">
        <v>196</v>
      </c>
      <c r="AE4" s="108" t="s">
        <v>130</v>
      </c>
      <c r="AF4" s="108" t="s">
        <v>201</v>
      </c>
      <c r="AG4" s="102" t="s">
        <v>193</v>
      </c>
      <c r="AH4" s="104" t="s">
        <v>194</v>
      </c>
      <c r="AI4" s="104" t="s">
        <v>195</v>
      </c>
      <c r="AJ4" s="106" t="s">
        <v>196</v>
      </c>
      <c r="AK4" s="102" t="s">
        <v>193</v>
      </c>
      <c r="AL4" s="104" t="s">
        <v>194</v>
      </c>
      <c r="AM4" s="104" t="s">
        <v>195</v>
      </c>
      <c r="AN4" s="106" t="s">
        <v>196</v>
      </c>
      <c r="AO4" s="108" t="s">
        <v>130</v>
      </c>
      <c r="AP4" s="108" t="s">
        <v>201</v>
      </c>
      <c r="AQ4" s="102" t="s">
        <v>193</v>
      </c>
      <c r="AR4" s="104" t="s">
        <v>194</v>
      </c>
      <c r="AS4" s="104" t="s">
        <v>195</v>
      </c>
      <c r="AT4" s="106" t="s">
        <v>196</v>
      </c>
      <c r="AU4" s="102" t="s">
        <v>193</v>
      </c>
      <c r="AV4" s="104" t="s">
        <v>194</v>
      </c>
      <c r="AW4" s="104" t="s">
        <v>195</v>
      </c>
      <c r="AX4" s="106" t="s">
        <v>196</v>
      </c>
      <c r="AY4" s="108" t="s">
        <v>130</v>
      </c>
      <c r="AZ4" s="108" t="s">
        <v>201</v>
      </c>
      <c r="BA4" s="102" t="s">
        <v>193</v>
      </c>
      <c r="BB4" s="104" t="s">
        <v>194</v>
      </c>
      <c r="BC4" s="104" t="s">
        <v>195</v>
      </c>
      <c r="BD4" s="106" t="s">
        <v>196</v>
      </c>
      <c r="BE4" s="102" t="s">
        <v>193</v>
      </c>
      <c r="BF4" s="104" t="s">
        <v>194</v>
      </c>
      <c r="BG4" s="104" t="s">
        <v>195</v>
      </c>
      <c r="BH4" s="106" t="s">
        <v>196</v>
      </c>
      <c r="BI4" s="108" t="s">
        <v>130</v>
      </c>
      <c r="BJ4" s="108" t="s">
        <v>201</v>
      </c>
      <c r="BK4" s="102" t="s">
        <v>193</v>
      </c>
      <c r="BL4" s="104" t="s">
        <v>194</v>
      </c>
      <c r="BM4" s="104" t="s">
        <v>195</v>
      </c>
      <c r="BN4" s="106" t="s">
        <v>196</v>
      </c>
      <c r="BO4" s="102" t="s">
        <v>193</v>
      </c>
      <c r="BP4" s="104" t="s">
        <v>194</v>
      </c>
      <c r="BQ4" s="104" t="s">
        <v>195</v>
      </c>
      <c r="BR4" s="106" t="s">
        <v>196</v>
      </c>
      <c r="BS4" s="108" t="s">
        <v>130</v>
      </c>
      <c r="BT4" s="108" t="s">
        <v>201</v>
      </c>
      <c r="BU4" s="102" t="s">
        <v>193</v>
      </c>
      <c r="BV4" s="104" t="s">
        <v>194</v>
      </c>
      <c r="BW4" s="104" t="s">
        <v>195</v>
      </c>
      <c r="BX4" s="106" t="s">
        <v>196</v>
      </c>
      <c r="BY4" s="102" t="s">
        <v>193</v>
      </c>
      <c r="BZ4" s="104" t="s">
        <v>194</v>
      </c>
      <c r="CA4" s="104" t="s">
        <v>195</v>
      </c>
      <c r="CB4" s="106" t="s">
        <v>196</v>
      </c>
      <c r="CC4" s="108" t="s">
        <v>130</v>
      </c>
      <c r="CD4" s="108" t="s">
        <v>201</v>
      </c>
      <c r="CE4" s="102" t="s">
        <v>193</v>
      </c>
      <c r="CF4" s="104" t="s">
        <v>194</v>
      </c>
      <c r="CG4" s="104" t="s">
        <v>195</v>
      </c>
      <c r="CH4" s="106" t="s">
        <v>196</v>
      </c>
      <c r="CI4" s="102" t="s">
        <v>193</v>
      </c>
      <c r="CJ4" s="104" t="s">
        <v>194</v>
      </c>
      <c r="CK4" s="104" t="s">
        <v>195</v>
      </c>
      <c r="CL4" s="106" t="s">
        <v>196</v>
      </c>
      <c r="CM4" s="108" t="s">
        <v>130</v>
      </c>
      <c r="CN4" s="108" t="s">
        <v>201</v>
      </c>
      <c r="CO4" s="102" t="s">
        <v>193</v>
      </c>
      <c r="CP4" s="104" t="s">
        <v>194</v>
      </c>
      <c r="CQ4" s="104" t="s">
        <v>195</v>
      </c>
      <c r="CR4" s="106" t="s">
        <v>196</v>
      </c>
      <c r="CS4" s="102" t="s">
        <v>193</v>
      </c>
      <c r="CT4" s="104" t="s">
        <v>194</v>
      </c>
      <c r="CU4" s="104" t="s">
        <v>195</v>
      </c>
      <c r="CV4" s="106" t="s">
        <v>196</v>
      </c>
      <c r="CW4" s="108" t="s">
        <v>130</v>
      </c>
      <c r="CX4" s="108" t="s">
        <v>201</v>
      </c>
      <c r="CY4" s="102" t="s">
        <v>193</v>
      </c>
      <c r="CZ4" s="104" t="s">
        <v>194</v>
      </c>
      <c r="DA4" s="104" t="s">
        <v>195</v>
      </c>
      <c r="DB4" s="106" t="s">
        <v>196</v>
      </c>
      <c r="DC4" s="102" t="s">
        <v>193</v>
      </c>
      <c r="DD4" s="104" t="s">
        <v>194</v>
      </c>
      <c r="DE4" s="104" t="s">
        <v>195</v>
      </c>
      <c r="DF4" s="106" t="s">
        <v>196</v>
      </c>
      <c r="DG4" s="108" t="s">
        <v>130</v>
      </c>
      <c r="DH4" s="108" t="s">
        <v>201</v>
      </c>
      <c r="DI4" s="102" t="s">
        <v>193</v>
      </c>
      <c r="DJ4" s="104" t="s">
        <v>194</v>
      </c>
      <c r="DK4" s="104" t="s">
        <v>195</v>
      </c>
      <c r="DL4" s="106" t="s">
        <v>196</v>
      </c>
      <c r="DM4" s="102" t="s">
        <v>193</v>
      </c>
      <c r="DN4" s="104" t="s">
        <v>194</v>
      </c>
      <c r="DO4" s="104" t="s">
        <v>195</v>
      </c>
      <c r="DP4" s="106" t="s">
        <v>196</v>
      </c>
      <c r="DQ4" s="108" t="s">
        <v>130</v>
      </c>
      <c r="DR4" s="108" t="s">
        <v>201</v>
      </c>
      <c r="DS4" s="111" t="s">
        <v>215</v>
      </c>
      <c r="DT4" s="112" t="s">
        <v>220</v>
      </c>
      <c r="DU4" s="6" t="s">
        <v>223</v>
      </c>
    </row>
    <row r="5" spans="1:125" ht="12.75" customHeight="1">
      <c r="A5" s="74" t="s">
        <v>131</v>
      </c>
      <c r="B5" s="113" t="s">
        <v>132</v>
      </c>
      <c r="C5" s="114">
        <v>4.3499999999999996</v>
      </c>
      <c r="D5" s="120">
        <v>7</v>
      </c>
      <c r="E5" s="123">
        <f>D5-7</f>
        <v>0</v>
      </c>
      <c r="F5" s="125">
        <f t="shared" ref="F5:F45" si="0">C5*E5</f>
        <v>0</v>
      </c>
      <c r="G5" s="114">
        <v>2.27</v>
      </c>
      <c r="H5" s="120">
        <v>4</v>
      </c>
      <c r="I5" s="123">
        <f>H5-4</f>
        <v>0</v>
      </c>
      <c r="J5" s="125">
        <f t="shared" ref="J5:J45" si="1">G5*I5</f>
        <v>0</v>
      </c>
      <c r="K5" s="126">
        <f>F5+J5</f>
        <v>0</v>
      </c>
      <c r="L5" s="127">
        <v>0</v>
      </c>
      <c r="M5" s="114">
        <v>4.3499999999999996</v>
      </c>
      <c r="N5" s="123">
        <v>7</v>
      </c>
      <c r="O5" s="129">
        <f t="shared" ref="O5:O45" si="2">N5-D5</f>
        <v>0</v>
      </c>
      <c r="P5" s="125">
        <f t="shared" ref="P5:P45" si="3">M5*O5</f>
        <v>0</v>
      </c>
      <c r="Q5" s="114">
        <v>2.27</v>
      </c>
      <c r="R5" s="123">
        <v>4</v>
      </c>
      <c r="S5" s="129">
        <f t="shared" ref="S5:S45" si="4">R5-H5</f>
        <v>0</v>
      </c>
      <c r="T5" s="125">
        <f t="shared" ref="T5:T45" si="5">Q5*S5</f>
        <v>0</v>
      </c>
      <c r="U5" s="126">
        <f t="shared" ref="U5:U45" si="6">P5+T5</f>
        <v>0</v>
      </c>
      <c r="V5" s="127">
        <v>0</v>
      </c>
      <c r="W5" s="114">
        <v>4.3499999999999996</v>
      </c>
      <c r="X5" s="123">
        <v>7</v>
      </c>
      <c r="Y5" s="130">
        <f t="shared" ref="Y5:Y45" si="7">X5-N5</f>
        <v>0</v>
      </c>
      <c r="Z5" s="125">
        <f t="shared" ref="Z5:Z45" si="8">W5*Y5</f>
        <v>0</v>
      </c>
      <c r="AA5" s="114">
        <v>2.27</v>
      </c>
      <c r="AB5" s="123">
        <v>4</v>
      </c>
      <c r="AC5" s="130">
        <f t="shared" ref="AC5:AC45" si="9">AB5-R5</f>
        <v>0</v>
      </c>
      <c r="AD5" s="125">
        <f t="shared" ref="AD5:AD45" si="10">AA5*AC5</f>
        <v>0</v>
      </c>
      <c r="AE5" s="126">
        <f t="shared" ref="AE5:AE45" si="11">Z5+AD5</f>
        <v>0</v>
      </c>
      <c r="AF5" s="127">
        <v>0</v>
      </c>
      <c r="AG5" s="114">
        <v>4.3499999999999996</v>
      </c>
      <c r="AH5" s="123">
        <v>7</v>
      </c>
      <c r="AI5" s="129">
        <f t="shared" ref="AI5:AI45" si="12">AH5-X5</f>
        <v>0</v>
      </c>
      <c r="AJ5" s="125">
        <f>AG5*AI5</f>
        <v>0</v>
      </c>
      <c r="AK5" s="114">
        <v>2.27</v>
      </c>
      <c r="AL5" s="123">
        <v>4</v>
      </c>
      <c r="AM5" s="129">
        <f t="shared" ref="AM5:AM45" si="13">AL5-AB5</f>
        <v>0</v>
      </c>
      <c r="AN5" s="125">
        <v>0</v>
      </c>
      <c r="AO5" s="131">
        <f t="shared" ref="AO5:AO45" si="14">AN5+AJ5</f>
        <v>0</v>
      </c>
      <c r="AP5" s="127">
        <v>0</v>
      </c>
      <c r="AQ5" s="114">
        <v>4.3499999999999996</v>
      </c>
      <c r="AR5" s="123">
        <v>7</v>
      </c>
      <c r="AS5" s="130">
        <f t="shared" ref="AS5:AS45" si="15">AR5-AH5</f>
        <v>0</v>
      </c>
      <c r="AT5" s="125">
        <f t="shared" ref="AT5:AT45" si="16">AQ5*AS5</f>
        <v>0</v>
      </c>
      <c r="AU5" s="114">
        <v>2.27</v>
      </c>
      <c r="AV5" s="123">
        <v>4</v>
      </c>
      <c r="AW5" s="130">
        <f t="shared" ref="AW5:AW45" si="17">AV5-AL5</f>
        <v>0</v>
      </c>
      <c r="AX5" s="125">
        <f t="shared" ref="AX5:AX45" si="18">AW5*AU5</f>
        <v>0</v>
      </c>
      <c r="AY5" s="131">
        <f t="shared" ref="AY5:AY45" si="19">AX5+AT5</f>
        <v>0</v>
      </c>
      <c r="AZ5" s="127">
        <v>0</v>
      </c>
      <c r="BA5" s="114">
        <v>4.3499999999999996</v>
      </c>
      <c r="BB5" s="123">
        <v>7</v>
      </c>
      <c r="BC5" s="130">
        <f t="shared" ref="BC5:BC45" si="20">BB5-AR5</f>
        <v>0</v>
      </c>
      <c r="BD5" s="125">
        <f t="shared" ref="BD5:BD45" si="21">BA5*BC5</f>
        <v>0</v>
      </c>
      <c r="BE5" s="114">
        <v>2.27</v>
      </c>
      <c r="BF5" s="123">
        <v>4</v>
      </c>
      <c r="BG5" s="130">
        <f t="shared" ref="BG5:BG45" si="22">BF5-AV5</f>
        <v>0</v>
      </c>
      <c r="BH5" s="125">
        <f t="shared" ref="BH5:BH45" si="23">BG5*BE5</f>
        <v>0</v>
      </c>
      <c r="BI5" s="131">
        <f t="shared" ref="BI5:BI45" si="24">BD5+BH5</f>
        <v>0</v>
      </c>
      <c r="BJ5" s="127">
        <v>0</v>
      </c>
      <c r="BK5" s="114">
        <v>4.49</v>
      </c>
      <c r="BL5" s="123">
        <v>7</v>
      </c>
      <c r="BM5" s="130">
        <f t="shared" ref="BM5:BM45" si="25">BL5-BB5</f>
        <v>0</v>
      </c>
      <c r="BN5" s="125">
        <f t="shared" ref="BN5:BN45" si="26">BK5*BM5</f>
        <v>0</v>
      </c>
      <c r="BO5" s="114">
        <v>2.4300000000000002</v>
      </c>
      <c r="BP5" s="123">
        <v>4</v>
      </c>
      <c r="BQ5" s="130">
        <f t="shared" ref="BQ5:BQ45" si="27">BP5-BF5</f>
        <v>0</v>
      </c>
      <c r="BR5" s="125">
        <f t="shared" ref="BR5:BR45" si="28">BO5*BQ5</f>
        <v>0</v>
      </c>
      <c r="BS5" s="131">
        <f t="shared" ref="BS5:BS45" si="29">BN5+BR5</f>
        <v>0</v>
      </c>
      <c r="BT5" s="127">
        <v>0</v>
      </c>
      <c r="BU5" s="114">
        <v>4.49</v>
      </c>
      <c r="BV5" s="123">
        <v>7</v>
      </c>
      <c r="BW5" s="130">
        <f t="shared" ref="BW5:BW45" si="30">BV5-BL5</f>
        <v>0</v>
      </c>
      <c r="BX5" s="125">
        <f t="shared" ref="BX5:BX45" si="31">BU5*BW5</f>
        <v>0</v>
      </c>
      <c r="BY5" s="114">
        <v>2.4300000000000002</v>
      </c>
      <c r="BZ5" s="123">
        <v>4</v>
      </c>
      <c r="CA5" s="130">
        <f t="shared" ref="CA5:CA45" si="32">BZ5-BP5</f>
        <v>0</v>
      </c>
      <c r="CB5" s="125">
        <f t="shared" ref="CB5:CB45" si="33">CA5*BY5</f>
        <v>0</v>
      </c>
      <c r="CC5" s="131">
        <f t="shared" ref="CC5:CC45" si="34">BX5+CB5</f>
        <v>0</v>
      </c>
      <c r="CD5" s="127">
        <v>0</v>
      </c>
      <c r="CF5" s="123">
        <v>7</v>
      </c>
      <c r="CG5" s="129">
        <f t="shared" ref="CG5:CG45" si="35">CF5-BV5</f>
        <v>0</v>
      </c>
      <c r="CH5" s="125">
        <f>CG5*CN6</f>
        <v>0</v>
      </c>
      <c r="CI5" s="114">
        <v>2.4300000000000002</v>
      </c>
      <c r="CJ5" s="123">
        <v>4</v>
      </c>
      <c r="CK5" s="129">
        <f t="shared" ref="CK5:CK45" si="36">CJ5-BZ5</f>
        <v>0</v>
      </c>
      <c r="CL5" s="125">
        <f t="shared" ref="CL5:CL45" si="37">CK5*CI5</f>
        <v>0</v>
      </c>
      <c r="CM5" s="127">
        <f t="shared" ref="CM5:CM45" si="38">CH5+CL5</f>
        <v>0</v>
      </c>
      <c r="CN5" s="127">
        <v>0</v>
      </c>
      <c r="CO5" s="114">
        <v>4.49</v>
      </c>
      <c r="CP5" s="123">
        <v>7</v>
      </c>
      <c r="CQ5" s="130">
        <f t="shared" ref="CQ5:CQ45" si="39">CP5-CF5</f>
        <v>0</v>
      </c>
      <c r="CR5" s="125">
        <f t="shared" ref="CR5:CR45" si="40">CO5*CQ5</f>
        <v>0</v>
      </c>
      <c r="CS5" s="114">
        <v>2.4300000000000002</v>
      </c>
      <c r="CT5" s="123">
        <v>4</v>
      </c>
      <c r="CU5" s="130">
        <f t="shared" ref="CU5:CU45" si="41">CT5-CJ5</f>
        <v>0</v>
      </c>
      <c r="CV5" s="125">
        <f>CT5-CJ5</f>
        <v>0</v>
      </c>
      <c r="CW5" s="131">
        <f t="shared" ref="CW5:CW45" si="42">CV5+CR5</f>
        <v>0</v>
      </c>
      <c r="CX5" s="127">
        <v>0</v>
      </c>
      <c r="CY5" s="114">
        <v>4.49</v>
      </c>
      <c r="CZ5" s="123">
        <v>7</v>
      </c>
      <c r="DA5" s="130">
        <f t="shared" ref="DA5:DA45" si="43">CZ5-CP5</f>
        <v>0</v>
      </c>
      <c r="DB5" s="132">
        <f t="shared" ref="DB5:DB45" si="44">CY5*DA5</f>
        <v>0</v>
      </c>
      <c r="DC5" s="114">
        <v>2.4300000000000002</v>
      </c>
      <c r="DD5" s="123">
        <v>4</v>
      </c>
      <c r="DE5" s="130">
        <f t="shared" ref="DE5:DE45" si="45">DD5-CT5</f>
        <v>0</v>
      </c>
      <c r="DF5" s="132">
        <f t="shared" ref="DF5:DF45" si="46">DC5*DE5</f>
        <v>0</v>
      </c>
      <c r="DG5" s="133">
        <f t="shared" ref="DG5:DG45" si="47">DB5+DF5</f>
        <v>0</v>
      </c>
      <c r="DH5" s="131"/>
      <c r="DI5" s="114">
        <v>4.49</v>
      </c>
      <c r="DJ5" s="130"/>
      <c r="DK5" s="130"/>
      <c r="DL5" s="132"/>
      <c r="DM5" s="114">
        <v>2.4300000000000002</v>
      </c>
      <c r="DN5" s="130"/>
      <c r="DO5" s="130"/>
      <c r="DP5" s="132"/>
      <c r="DQ5" s="131">
        <f t="shared" ref="DQ5:DQ45" si="48">DL5+DP5</f>
        <v>0</v>
      </c>
      <c r="DR5" s="131"/>
      <c r="DS5" s="134"/>
      <c r="DT5" s="135"/>
      <c r="DU5" s="26"/>
    </row>
    <row r="6" spans="1:125" ht="12.75" customHeight="1">
      <c r="A6" s="82" t="s">
        <v>133</v>
      </c>
      <c r="B6" s="136" t="s">
        <v>132</v>
      </c>
      <c r="C6" s="114">
        <v>4.3499999999999996</v>
      </c>
      <c r="D6" s="137">
        <v>4</v>
      </c>
      <c r="E6" s="123">
        <f>D6-4</f>
        <v>0</v>
      </c>
      <c r="F6" s="125">
        <f t="shared" si="0"/>
        <v>0</v>
      </c>
      <c r="G6" s="114">
        <v>2.27</v>
      </c>
      <c r="H6" s="137">
        <v>5</v>
      </c>
      <c r="I6" s="123">
        <f>H6-5</f>
        <v>0</v>
      </c>
      <c r="J6" s="125">
        <f t="shared" si="1"/>
        <v>0</v>
      </c>
      <c r="K6" s="138">
        <v>0</v>
      </c>
      <c r="L6" s="127">
        <v>0</v>
      </c>
      <c r="M6" s="114">
        <v>4.3499999999999996</v>
      </c>
      <c r="N6" s="123">
        <v>4</v>
      </c>
      <c r="O6" s="129">
        <f t="shared" si="2"/>
        <v>0</v>
      </c>
      <c r="P6" s="125">
        <f t="shared" si="3"/>
        <v>0</v>
      </c>
      <c r="Q6" s="114">
        <v>2.27</v>
      </c>
      <c r="R6" s="123">
        <v>5</v>
      </c>
      <c r="S6" s="129">
        <f t="shared" si="4"/>
        <v>0</v>
      </c>
      <c r="T6" s="125">
        <f t="shared" si="5"/>
        <v>0</v>
      </c>
      <c r="U6" s="126">
        <f t="shared" si="6"/>
        <v>0</v>
      </c>
      <c r="V6" s="127">
        <v>0</v>
      </c>
      <c r="W6" s="114">
        <v>4.3499999999999996</v>
      </c>
      <c r="X6" s="123">
        <v>4</v>
      </c>
      <c r="Y6" s="130">
        <f t="shared" si="7"/>
        <v>0</v>
      </c>
      <c r="Z6" s="125">
        <f t="shared" si="8"/>
        <v>0</v>
      </c>
      <c r="AA6" s="114">
        <v>2.27</v>
      </c>
      <c r="AB6" s="123">
        <v>5</v>
      </c>
      <c r="AC6" s="130">
        <f t="shared" si="9"/>
        <v>0</v>
      </c>
      <c r="AD6" s="125">
        <f t="shared" si="10"/>
        <v>0</v>
      </c>
      <c r="AE6" s="126">
        <f t="shared" si="11"/>
        <v>0</v>
      </c>
      <c r="AF6" s="127">
        <v>0</v>
      </c>
      <c r="AG6" s="114">
        <v>4.3499999999999996</v>
      </c>
      <c r="AH6" s="123">
        <v>4</v>
      </c>
      <c r="AI6" s="129">
        <f t="shared" si="12"/>
        <v>0</v>
      </c>
      <c r="AJ6" s="125">
        <v>0</v>
      </c>
      <c r="AK6" s="114">
        <v>2.27</v>
      </c>
      <c r="AL6" s="123">
        <v>5</v>
      </c>
      <c r="AM6" s="129">
        <f t="shared" si="13"/>
        <v>0</v>
      </c>
      <c r="AN6" s="125">
        <v>0</v>
      </c>
      <c r="AO6" s="131">
        <f t="shared" si="14"/>
        <v>0</v>
      </c>
      <c r="AP6" s="127">
        <v>0</v>
      </c>
      <c r="AQ6" s="114">
        <v>4.3499999999999996</v>
      </c>
      <c r="AR6" s="123">
        <v>157</v>
      </c>
      <c r="AS6" s="130">
        <f t="shared" si="15"/>
        <v>153</v>
      </c>
      <c r="AT6" s="125">
        <f t="shared" si="16"/>
        <v>665.55</v>
      </c>
      <c r="AU6" s="114">
        <v>2.27</v>
      </c>
      <c r="AV6" s="123">
        <v>79</v>
      </c>
      <c r="AW6" s="130">
        <f t="shared" si="17"/>
        <v>74</v>
      </c>
      <c r="AX6" s="125">
        <f t="shared" si="18"/>
        <v>167.98</v>
      </c>
      <c r="AY6" s="131">
        <f t="shared" si="19"/>
        <v>833.53</v>
      </c>
      <c r="AZ6" s="127">
        <v>834</v>
      </c>
      <c r="BA6" s="114">
        <v>4.3499999999999996</v>
      </c>
      <c r="BB6" s="123">
        <v>255</v>
      </c>
      <c r="BC6" s="130">
        <f t="shared" si="20"/>
        <v>98</v>
      </c>
      <c r="BD6" s="125">
        <f t="shared" si="21"/>
        <v>426.29999999999995</v>
      </c>
      <c r="BE6" s="114">
        <v>2.27</v>
      </c>
      <c r="BF6" s="123">
        <v>118</v>
      </c>
      <c r="BG6" s="130">
        <f t="shared" si="22"/>
        <v>39</v>
      </c>
      <c r="BH6" s="125">
        <f t="shared" si="23"/>
        <v>88.53</v>
      </c>
      <c r="BI6" s="131">
        <f t="shared" si="24"/>
        <v>514.82999999999993</v>
      </c>
      <c r="BJ6" s="127">
        <v>515</v>
      </c>
      <c r="BK6" s="114">
        <v>4.49</v>
      </c>
      <c r="BL6" s="123">
        <v>403</v>
      </c>
      <c r="BM6" s="130">
        <f t="shared" si="25"/>
        <v>148</v>
      </c>
      <c r="BN6" s="125">
        <f t="shared" si="26"/>
        <v>664.52</v>
      </c>
      <c r="BO6" s="114">
        <v>2.4300000000000002</v>
      </c>
      <c r="BP6" s="123">
        <v>202</v>
      </c>
      <c r="BQ6" s="130">
        <f t="shared" si="27"/>
        <v>84</v>
      </c>
      <c r="BR6" s="125">
        <f t="shared" si="28"/>
        <v>204.12</v>
      </c>
      <c r="BS6" s="131">
        <f t="shared" si="29"/>
        <v>868.64</v>
      </c>
      <c r="BT6" s="127">
        <v>869</v>
      </c>
      <c r="BU6" s="114">
        <v>4.49</v>
      </c>
      <c r="BV6" s="123">
        <v>410</v>
      </c>
      <c r="BW6" s="130">
        <f t="shared" si="30"/>
        <v>7</v>
      </c>
      <c r="BX6" s="125">
        <f t="shared" si="31"/>
        <v>31.43</v>
      </c>
      <c r="BY6" s="114">
        <v>2.4300000000000002</v>
      </c>
      <c r="BZ6" s="123">
        <v>213</v>
      </c>
      <c r="CA6" s="130">
        <f t="shared" si="32"/>
        <v>11</v>
      </c>
      <c r="CB6" s="125">
        <f t="shared" si="33"/>
        <v>26.73</v>
      </c>
      <c r="CC6" s="131">
        <f t="shared" si="34"/>
        <v>58.16</v>
      </c>
      <c r="CD6" s="127">
        <v>58</v>
      </c>
      <c r="CE6" s="114">
        <v>4.49</v>
      </c>
      <c r="CF6" s="123">
        <v>650</v>
      </c>
      <c r="CG6" s="129">
        <f t="shared" si="35"/>
        <v>240</v>
      </c>
      <c r="CH6" s="125">
        <f t="shared" ref="CH6:CH45" si="49">CG6*CE6</f>
        <v>1077.6000000000001</v>
      </c>
      <c r="CI6" s="114">
        <v>2.4300000000000002</v>
      </c>
      <c r="CJ6" s="123">
        <v>329</v>
      </c>
      <c r="CK6" s="129">
        <f t="shared" si="36"/>
        <v>116</v>
      </c>
      <c r="CL6" s="125">
        <f t="shared" si="37"/>
        <v>281.88</v>
      </c>
      <c r="CM6" s="127">
        <f t="shared" si="38"/>
        <v>1359.48</v>
      </c>
      <c r="CN6" s="114">
        <v>58</v>
      </c>
      <c r="CO6" s="114">
        <v>4.49</v>
      </c>
      <c r="CP6" s="123">
        <v>1606</v>
      </c>
      <c r="CQ6" s="130">
        <f t="shared" si="39"/>
        <v>956</v>
      </c>
      <c r="CR6" s="125">
        <f t="shared" si="40"/>
        <v>4292.4400000000005</v>
      </c>
      <c r="CS6" s="114">
        <v>2.4300000000000002</v>
      </c>
      <c r="CT6" s="123">
        <v>751</v>
      </c>
      <c r="CU6" s="130">
        <f t="shared" si="41"/>
        <v>422</v>
      </c>
      <c r="CV6" s="125">
        <f t="shared" ref="CV6:CV45" si="50">CU6*CS6</f>
        <v>1025.46</v>
      </c>
      <c r="CW6" s="131">
        <f t="shared" si="42"/>
        <v>5317.9000000000005</v>
      </c>
      <c r="CX6" s="131"/>
      <c r="CY6" s="114">
        <v>4.49</v>
      </c>
      <c r="CZ6" s="123">
        <v>7050</v>
      </c>
      <c r="DA6" s="130">
        <f t="shared" si="43"/>
        <v>5444</v>
      </c>
      <c r="DB6" s="132">
        <f t="shared" si="44"/>
        <v>24443.56</v>
      </c>
      <c r="DC6" s="114">
        <v>2.4300000000000002</v>
      </c>
      <c r="DD6" s="123">
        <v>3383</v>
      </c>
      <c r="DE6" s="130">
        <f t="shared" si="45"/>
        <v>2632</v>
      </c>
      <c r="DF6" s="132">
        <f t="shared" si="46"/>
        <v>6395.76</v>
      </c>
      <c r="DG6" s="185">
        <f t="shared" si="47"/>
        <v>30839.32</v>
      </c>
      <c r="DH6" s="131"/>
      <c r="DI6" s="114">
        <v>4.49</v>
      </c>
      <c r="DJ6" s="130"/>
      <c r="DK6" s="130"/>
      <c r="DL6" s="132"/>
      <c r="DM6" s="114">
        <v>2.4300000000000002</v>
      </c>
      <c r="DN6" s="130"/>
      <c r="DO6" s="130"/>
      <c r="DP6" s="132"/>
      <c r="DQ6" s="131">
        <f t="shared" si="48"/>
        <v>0</v>
      </c>
      <c r="DR6" s="131"/>
      <c r="DS6" s="134"/>
      <c r="DT6" s="135"/>
      <c r="DU6" s="26"/>
    </row>
    <row r="7" spans="1:125" ht="12.75" customHeight="1">
      <c r="A7" s="82" t="s">
        <v>140</v>
      </c>
      <c r="B7" s="136" t="s">
        <v>141</v>
      </c>
      <c r="C7" s="114">
        <v>4.3499999999999996</v>
      </c>
      <c r="D7" s="137">
        <v>41137</v>
      </c>
      <c r="E7" s="130">
        <f>D7-39850</f>
        <v>1287</v>
      </c>
      <c r="F7" s="125">
        <f t="shared" si="0"/>
        <v>5598.45</v>
      </c>
      <c r="G7" s="114">
        <v>2.27</v>
      </c>
      <c r="H7" s="137">
        <v>16389</v>
      </c>
      <c r="I7" s="130">
        <f>H7-15751</f>
        <v>638</v>
      </c>
      <c r="J7" s="125">
        <f t="shared" si="1"/>
        <v>1448.26</v>
      </c>
      <c r="K7" s="126">
        <f t="shared" ref="K7:K45" si="51">F7+J7</f>
        <v>7046.71</v>
      </c>
      <c r="L7" s="127">
        <v>7047</v>
      </c>
      <c r="M7" s="114">
        <v>4.3499999999999996</v>
      </c>
      <c r="N7" s="139">
        <v>42199</v>
      </c>
      <c r="O7" s="129">
        <f t="shared" si="2"/>
        <v>1062</v>
      </c>
      <c r="P7" s="125">
        <f t="shared" si="3"/>
        <v>4619.7</v>
      </c>
      <c r="Q7" s="114">
        <v>2.27</v>
      </c>
      <c r="R7" s="140">
        <v>16917</v>
      </c>
      <c r="S7" s="129">
        <f t="shared" si="4"/>
        <v>528</v>
      </c>
      <c r="T7" s="125">
        <f t="shared" si="5"/>
        <v>1198.56</v>
      </c>
      <c r="U7" s="126">
        <f t="shared" si="6"/>
        <v>5818.26</v>
      </c>
      <c r="V7" s="127">
        <v>5818</v>
      </c>
      <c r="W7" s="114">
        <v>4.3499999999999996</v>
      </c>
      <c r="X7" s="123">
        <v>43133</v>
      </c>
      <c r="Y7" s="130">
        <f t="shared" si="7"/>
        <v>934</v>
      </c>
      <c r="Z7" s="125">
        <f t="shared" si="8"/>
        <v>4062.8999999999996</v>
      </c>
      <c r="AA7" s="114">
        <v>2.27</v>
      </c>
      <c r="AB7" s="123">
        <v>17374</v>
      </c>
      <c r="AC7" s="130">
        <f t="shared" si="9"/>
        <v>457</v>
      </c>
      <c r="AD7" s="125">
        <f t="shared" si="10"/>
        <v>1037.3900000000001</v>
      </c>
      <c r="AE7" s="126">
        <f t="shared" si="11"/>
        <v>5100.29</v>
      </c>
      <c r="AF7" s="127">
        <v>5100</v>
      </c>
      <c r="AG7" s="114">
        <v>4.3499999999999996</v>
      </c>
      <c r="AH7" s="123">
        <v>43628</v>
      </c>
      <c r="AI7" s="129">
        <f t="shared" si="12"/>
        <v>495</v>
      </c>
      <c r="AJ7" s="125">
        <f t="shared" ref="AJ7:AJ45" si="52">AI7*AG7</f>
        <v>2153.25</v>
      </c>
      <c r="AK7" s="114">
        <v>2.27</v>
      </c>
      <c r="AL7" s="123">
        <v>17607</v>
      </c>
      <c r="AM7" s="129">
        <f t="shared" si="13"/>
        <v>233</v>
      </c>
      <c r="AN7" s="125">
        <f t="shared" ref="AN7:AN45" si="53">AM7*AK7</f>
        <v>528.91</v>
      </c>
      <c r="AO7" s="131">
        <f t="shared" si="14"/>
        <v>2682.16</v>
      </c>
      <c r="AP7" s="127">
        <v>2682</v>
      </c>
      <c r="AQ7" s="114">
        <v>4.3499999999999996</v>
      </c>
      <c r="AR7" s="123">
        <v>43900</v>
      </c>
      <c r="AS7" s="130">
        <f t="shared" si="15"/>
        <v>272</v>
      </c>
      <c r="AT7" s="125">
        <f t="shared" si="16"/>
        <v>1183.1999999999998</v>
      </c>
      <c r="AU7" s="114">
        <v>2.27</v>
      </c>
      <c r="AV7" s="123">
        <v>17722</v>
      </c>
      <c r="AW7" s="130">
        <f t="shared" si="17"/>
        <v>115</v>
      </c>
      <c r="AX7" s="125">
        <f t="shared" si="18"/>
        <v>261.05</v>
      </c>
      <c r="AY7" s="131">
        <f t="shared" si="19"/>
        <v>1444.2499999999998</v>
      </c>
      <c r="AZ7" s="127">
        <v>1444</v>
      </c>
      <c r="BA7" s="114">
        <v>4.3499999999999996</v>
      </c>
      <c r="BB7" s="123">
        <v>44124</v>
      </c>
      <c r="BC7" s="130">
        <f t="shared" si="20"/>
        <v>224</v>
      </c>
      <c r="BD7" s="125">
        <f t="shared" si="21"/>
        <v>974.39999999999986</v>
      </c>
      <c r="BE7" s="114">
        <v>2.27</v>
      </c>
      <c r="BF7" s="123">
        <v>17806</v>
      </c>
      <c r="BG7" s="130">
        <f t="shared" si="22"/>
        <v>84</v>
      </c>
      <c r="BH7" s="125">
        <f t="shared" si="23"/>
        <v>190.68</v>
      </c>
      <c r="BI7" s="131">
        <f t="shared" si="24"/>
        <v>1165.08</v>
      </c>
      <c r="BJ7" s="127">
        <v>1165</v>
      </c>
      <c r="BK7" s="114">
        <v>4.49</v>
      </c>
      <c r="BL7" s="123">
        <v>44320</v>
      </c>
      <c r="BM7" s="130">
        <f t="shared" si="25"/>
        <v>196</v>
      </c>
      <c r="BN7" s="125">
        <f t="shared" si="26"/>
        <v>880.04000000000008</v>
      </c>
      <c r="BO7" s="114">
        <v>2.4300000000000002</v>
      </c>
      <c r="BP7" s="123">
        <v>17885</v>
      </c>
      <c r="BQ7" s="130">
        <f t="shared" si="27"/>
        <v>79</v>
      </c>
      <c r="BR7" s="125">
        <f t="shared" si="28"/>
        <v>191.97</v>
      </c>
      <c r="BS7" s="131">
        <f t="shared" si="29"/>
        <v>1072.01</v>
      </c>
      <c r="BT7" s="127">
        <v>1072</v>
      </c>
      <c r="BU7" s="114">
        <v>4.49</v>
      </c>
      <c r="BV7" s="123">
        <v>44517</v>
      </c>
      <c r="BW7" s="130">
        <f t="shared" si="30"/>
        <v>197</v>
      </c>
      <c r="BX7" s="125">
        <f t="shared" si="31"/>
        <v>884.53000000000009</v>
      </c>
      <c r="BY7" s="114">
        <v>2.4300000000000002</v>
      </c>
      <c r="BZ7" s="123">
        <v>17954</v>
      </c>
      <c r="CA7" s="130">
        <f t="shared" si="32"/>
        <v>69</v>
      </c>
      <c r="CB7" s="125">
        <f t="shared" si="33"/>
        <v>167.67000000000002</v>
      </c>
      <c r="CC7" s="131">
        <f t="shared" si="34"/>
        <v>1052.2</v>
      </c>
      <c r="CD7" s="127">
        <v>1052</v>
      </c>
      <c r="CE7" s="114">
        <v>4.49</v>
      </c>
      <c r="CF7" s="123">
        <v>44870</v>
      </c>
      <c r="CG7" s="129">
        <f t="shared" si="35"/>
        <v>353</v>
      </c>
      <c r="CH7" s="125">
        <f t="shared" si="49"/>
        <v>1584.97</v>
      </c>
      <c r="CI7" s="114">
        <v>2.4300000000000002</v>
      </c>
      <c r="CJ7" s="123">
        <v>18094</v>
      </c>
      <c r="CK7" s="129">
        <f t="shared" si="36"/>
        <v>140</v>
      </c>
      <c r="CL7" s="125">
        <f t="shared" si="37"/>
        <v>340.20000000000005</v>
      </c>
      <c r="CM7" s="127">
        <f t="shared" si="38"/>
        <v>1925.17</v>
      </c>
      <c r="CN7" s="127">
        <v>1925</v>
      </c>
      <c r="CO7" s="114">
        <v>4.49</v>
      </c>
      <c r="CP7" s="123">
        <v>45393</v>
      </c>
      <c r="CQ7" s="130">
        <f t="shared" si="39"/>
        <v>523</v>
      </c>
      <c r="CR7" s="125">
        <f t="shared" si="40"/>
        <v>2348.27</v>
      </c>
      <c r="CS7" s="114">
        <v>2.4300000000000002</v>
      </c>
      <c r="CT7" s="123">
        <v>18345</v>
      </c>
      <c r="CU7" s="130">
        <f t="shared" si="41"/>
        <v>251</v>
      </c>
      <c r="CV7" s="125">
        <f t="shared" si="50"/>
        <v>609.93000000000006</v>
      </c>
      <c r="CW7" s="131">
        <f t="shared" si="42"/>
        <v>2958.2</v>
      </c>
      <c r="CX7" s="127">
        <v>2958</v>
      </c>
      <c r="CY7" s="114">
        <v>4.49</v>
      </c>
      <c r="CZ7" s="123">
        <v>46042</v>
      </c>
      <c r="DA7" s="130">
        <f t="shared" si="43"/>
        <v>649</v>
      </c>
      <c r="DB7" s="132">
        <f t="shared" si="44"/>
        <v>2914.01</v>
      </c>
      <c r="DC7" s="114">
        <v>2.4300000000000002</v>
      </c>
      <c r="DD7" s="123">
        <v>18654</v>
      </c>
      <c r="DE7" s="130">
        <f t="shared" si="45"/>
        <v>309</v>
      </c>
      <c r="DF7" s="132">
        <f t="shared" si="46"/>
        <v>750.87</v>
      </c>
      <c r="DG7" s="133">
        <f t="shared" si="47"/>
        <v>3664.88</v>
      </c>
      <c r="DH7" s="131"/>
      <c r="DI7" s="114">
        <v>4.49</v>
      </c>
      <c r="DJ7" s="130"/>
      <c r="DK7" s="130"/>
      <c r="DL7" s="132"/>
      <c r="DM7" s="114">
        <v>2.4300000000000002</v>
      </c>
      <c r="DN7" s="130"/>
      <c r="DO7" s="130"/>
      <c r="DP7" s="132"/>
      <c r="DQ7" s="131">
        <f t="shared" si="48"/>
        <v>0</v>
      </c>
      <c r="DR7" s="131"/>
      <c r="DS7" s="134"/>
      <c r="DT7" s="135"/>
      <c r="DU7" s="26"/>
    </row>
    <row r="8" spans="1:125" ht="12.75" customHeight="1">
      <c r="A8" s="82" t="s">
        <v>143</v>
      </c>
      <c r="B8" s="30" t="s">
        <v>144</v>
      </c>
      <c r="C8" s="114">
        <v>4.3499999999999996</v>
      </c>
      <c r="D8" s="137">
        <v>110999</v>
      </c>
      <c r="E8" s="130">
        <f>D8-108840</f>
        <v>2159</v>
      </c>
      <c r="F8" s="125">
        <f t="shared" si="0"/>
        <v>9391.65</v>
      </c>
      <c r="G8" s="114">
        <v>2.27</v>
      </c>
      <c r="H8" s="137">
        <v>55974</v>
      </c>
      <c r="I8" s="130">
        <f>H8-54578</f>
        <v>1396</v>
      </c>
      <c r="J8" s="125">
        <f t="shared" si="1"/>
        <v>3168.92</v>
      </c>
      <c r="K8" s="126">
        <f t="shared" si="51"/>
        <v>12560.57</v>
      </c>
      <c r="L8" s="127">
        <v>12561</v>
      </c>
      <c r="M8" s="114">
        <v>4.3499999999999996</v>
      </c>
      <c r="N8" s="140">
        <v>112283</v>
      </c>
      <c r="O8" s="129">
        <f t="shared" si="2"/>
        <v>1284</v>
      </c>
      <c r="P8" s="125">
        <f t="shared" si="3"/>
        <v>5585.4</v>
      </c>
      <c r="Q8" s="114">
        <v>2.27</v>
      </c>
      <c r="R8" s="140">
        <v>56970</v>
      </c>
      <c r="S8" s="129">
        <f t="shared" si="4"/>
        <v>996</v>
      </c>
      <c r="T8" s="125">
        <f t="shared" si="5"/>
        <v>2260.92</v>
      </c>
      <c r="U8" s="126">
        <f t="shared" si="6"/>
        <v>7846.32</v>
      </c>
      <c r="V8" s="127">
        <v>7846</v>
      </c>
      <c r="W8" s="114">
        <v>4.3499999999999996</v>
      </c>
      <c r="X8" s="123">
        <v>114236</v>
      </c>
      <c r="Y8" s="130">
        <f t="shared" si="7"/>
        <v>1953</v>
      </c>
      <c r="Z8" s="125">
        <f t="shared" si="8"/>
        <v>8495.5499999999993</v>
      </c>
      <c r="AA8" s="114">
        <v>2.27</v>
      </c>
      <c r="AB8" s="123">
        <v>57719</v>
      </c>
      <c r="AC8" s="130">
        <f t="shared" si="9"/>
        <v>749</v>
      </c>
      <c r="AD8" s="125">
        <f t="shared" si="10"/>
        <v>1700.23</v>
      </c>
      <c r="AE8" s="126">
        <f t="shared" si="11"/>
        <v>10195.779999999999</v>
      </c>
      <c r="AF8" s="127">
        <v>10196</v>
      </c>
      <c r="AG8" s="114">
        <v>4.3499999999999996</v>
      </c>
      <c r="AH8" s="123">
        <v>115335</v>
      </c>
      <c r="AI8" s="129">
        <f t="shared" si="12"/>
        <v>1099</v>
      </c>
      <c r="AJ8" s="125">
        <f t="shared" si="52"/>
        <v>4780.6499999999996</v>
      </c>
      <c r="AK8" s="114">
        <v>2.27</v>
      </c>
      <c r="AL8" s="123">
        <v>58304</v>
      </c>
      <c r="AM8" s="129">
        <f t="shared" si="13"/>
        <v>585</v>
      </c>
      <c r="AN8" s="125">
        <f t="shared" si="53"/>
        <v>1327.95</v>
      </c>
      <c r="AO8" s="131">
        <f t="shared" si="14"/>
        <v>6108.5999999999995</v>
      </c>
      <c r="AP8" s="127">
        <v>6109</v>
      </c>
      <c r="AQ8" s="114">
        <v>4.3499999999999996</v>
      </c>
      <c r="AR8" s="123">
        <v>115730</v>
      </c>
      <c r="AS8" s="130">
        <f t="shared" si="15"/>
        <v>395</v>
      </c>
      <c r="AT8" s="125">
        <f t="shared" si="16"/>
        <v>1718.2499999999998</v>
      </c>
      <c r="AU8" s="114">
        <v>2.27</v>
      </c>
      <c r="AV8" s="123">
        <v>58592</v>
      </c>
      <c r="AW8" s="130">
        <f t="shared" si="17"/>
        <v>288</v>
      </c>
      <c r="AX8" s="125">
        <f t="shared" si="18"/>
        <v>653.76</v>
      </c>
      <c r="AY8" s="131">
        <f t="shared" si="19"/>
        <v>2372.0099999999998</v>
      </c>
      <c r="AZ8" s="127">
        <v>2372</v>
      </c>
      <c r="BA8" s="114">
        <v>4.3499999999999996</v>
      </c>
      <c r="BB8" s="123">
        <v>116079</v>
      </c>
      <c r="BC8" s="130">
        <f t="shared" si="20"/>
        <v>349</v>
      </c>
      <c r="BD8" s="125">
        <f t="shared" si="21"/>
        <v>1518.1499999999999</v>
      </c>
      <c r="BE8" s="114">
        <v>2.27</v>
      </c>
      <c r="BF8" s="123">
        <v>58793</v>
      </c>
      <c r="BG8" s="130">
        <f t="shared" si="22"/>
        <v>201</v>
      </c>
      <c r="BH8" s="125">
        <f t="shared" si="23"/>
        <v>456.27</v>
      </c>
      <c r="BI8" s="131">
        <f t="shared" si="24"/>
        <v>1974.4199999999998</v>
      </c>
      <c r="BJ8" s="127">
        <v>1974</v>
      </c>
      <c r="BK8" s="114">
        <v>4.49</v>
      </c>
      <c r="BL8" s="123">
        <v>116386</v>
      </c>
      <c r="BM8" s="130">
        <f t="shared" si="25"/>
        <v>307</v>
      </c>
      <c r="BN8" s="125">
        <f t="shared" si="26"/>
        <v>1378.43</v>
      </c>
      <c r="BO8" s="114">
        <v>2.4300000000000002</v>
      </c>
      <c r="BP8" s="123">
        <v>59002</v>
      </c>
      <c r="BQ8" s="130">
        <f t="shared" si="27"/>
        <v>209</v>
      </c>
      <c r="BR8" s="125">
        <f t="shared" si="28"/>
        <v>507.87000000000006</v>
      </c>
      <c r="BS8" s="131">
        <f t="shared" si="29"/>
        <v>1886.3000000000002</v>
      </c>
      <c r="BT8" s="127">
        <v>1886</v>
      </c>
      <c r="BU8" s="114">
        <v>4.49</v>
      </c>
      <c r="BV8" s="123">
        <v>116882</v>
      </c>
      <c r="BW8" s="130">
        <f t="shared" si="30"/>
        <v>496</v>
      </c>
      <c r="BX8" s="125">
        <f t="shared" si="31"/>
        <v>2227.04</v>
      </c>
      <c r="BY8" s="114">
        <v>2.4300000000000002</v>
      </c>
      <c r="BZ8" s="123">
        <v>59256</v>
      </c>
      <c r="CA8" s="130">
        <f t="shared" si="32"/>
        <v>254</v>
      </c>
      <c r="CB8" s="125">
        <f t="shared" si="33"/>
        <v>617.22</v>
      </c>
      <c r="CC8" s="131">
        <f t="shared" si="34"/>
        <v>2844.26</v>
      </c>
      <c r="CD8" s="127">
        <v>2844</v>
      </c>
      <c r="CE8" s="114">
        <v>4.49</v>
      </c>
      <c r="CF8" s="123">
        <v>117877</v>
      </c>
      <c r="CG8" s="129">
        <f t="shared" si="35"/>
        <v>995</v>
      </c>
      <c r="CH8" s="125">
        <f t="shared" si="49"/>
        <v>4467.55</v>
      </c>
      <c r="CI8" s="114">
        <v>2.4300000000000002</v>
      </c>
      <c r="CJ8" s="123">
        <v>59799</v>
      </c>
      <c r="CK8" s="129">
        <f t="shared" si="36"/>
        <v>543</v>
      </c>
      <c r="CL8" s="125">
        <f t="shared" si="37"/>
        <v>1319.49</v>
      </c>
      <c r="CM8" s="127">
        <f t="shared" si="38"/>
        <v>5787.04</v>
      </c>
      <c r="CN8" s="127">
        <v>5787</v>
      </c>
      <c r="CO8" s="114">
        <v>4.49</v>
      </c>
      <c r="CP8" s="123">
        <v>119285</v>
      </c>
      <c r="CQ8" s="130">
        <f t="shared" si="39"/>
        <v>1408</v>
      </c>
      <c r="CR8" s="125">
        <f t="shared" si="40"/>
        <v>6321.92</v>
      </c>
      <c r="CS8" s="114">
        <v>2.4300000000000002</v>
      </c>
      <c r="CT8" s="123">
        <v>60581</v>
      </c>
      <c r="CU8" s="130">
        <f t="shared" si="41"/>
        <v>782</v>
      </c>
      <c r="CV8" s="125">
        <f t="shared" si="50"/>
        <v>1900.2600000000002</v>
      </c>
      <c r="CW8" s="131">
        <f t="shared" si="42"/>
        <v>8222.18</v>
      </c>
      <c r="CX8" s="127">
        <v>8222</v>
      </c>
      <c r="CY8" s="114">
        <v>4.49</v>
      </c>
      <c r="CZ8" s="123">
        <v>121025</v>
      </c>
      <c r="DA8" s="130">
        <f t="shared" si="43"/>
        <v>1740</v>
      </c>
      <c r="DB8" s="132">
        <f t="shared" si="44"/>
        <v>7812.6</v>
      </c>
      <c r="DC8" s="114">
        <v>2.4300000000000002</v>
      </c>
      <c r="DD8" s="123">
        <v>61457</v>
      </c>
      <c r="DE8" s="130">
        <f t="shared" si="45"/>
        <v>876</v>
      </c>
      <c r="DF8" s="132">
        <f t="shared" si="46"/>
        <v>2128.6800000000003</v>
      </c>
      <c r="DG8" s="133">
        <f t="shared" si="47"/>
        <v>9941.2800000000007</v>
      </c>
      <c r="DH8" s="186">
        <v>3417</v>
      </c>
      <c r="DI8" s="114">
        <v>4.49</v>
      </c>
      <c r="DJ8" s="130"/>
      <c r="DK8" s="130"/>
      <c r="DL8" s="132"/>
      <c r="DM8" s="114">
        <v>2.4300000000000002</v>
      </c>
      <c r="DN8" s="130"/>
      <c r="DO8" s="130"/>
      <c r="DP8" s="132"/>
      <c r="DQ8" s="131">
        <f t="shared" si="48"/>
        <v>0</v>
      </c>
      <c r="DR8" s="131"/>
      <c r="DS8" s="134"/>
      <c r="DT8" s="135"/>
      <c r="DU8" s="26"/>
    </row>
    <row r="9" spans="1:125" ht="12.75" customHeight="1">
      <c r="A9" s="82" t="s">
        <v>147</v>
      </c>
      <c r="B9" s="136" t="s">
        <v>148</v>
      </c>
      <c r="C9" s="114">
        <v>4.3499999999999996</v>
      </c>
      <c r="D9" s="137">
        <v>52081</v>
      </c>
      <c r="E9" s="130">
        <f>D9-50957</f>
        <v>1124</v>
      </c>
      <c r="F9" s="125">
        <f t="shared" si="0"/>
        <v>4889.3999999999996</v>
      </c>
      <c r="G9" s="114">
        <v>2.27</v>
      </c>
      <c r="H9" s="137">
        <v>24311</v>
      </c>
      <c r="I9" s="130">
        <f>H9-23740</f>
        <v>571</v>
      </c>
      <c r="J9" s="125">
        <f t="shared" si="1"/>
        <v>1296.17</v>
      </c>
      <c r="K9" s="126">
        <f t="shared" si="51"/>
        <v>6185.57</v>
      </c>
      <c r="L9" s="127">
        <v>6186</v>
      </c>
      <c r="M9" s="114">
        <v>4.3499999999999996</v>
      </c>
      <c r="N9" s="139">
        <v>52878</v>
      </c>
      <c r="O9" s="129">
        <f t="shared" si="2"/>
        <v>797</v>
      </c>
      <c r="P9" s="125">
        <f t="shared" si="3"/>
        <v>3466.95</v>
      </c>
      <c r="Q9" s="114">
        <v>2.27</v>
      </c>
      <c r="R9" s="139">
        <v>24714</v>
      </c>
      <c r="S9" s="129">
        <f t="shared" si="4"/>
        <v>403</v>
      </c>
      <c r="T9" s="125">
        <f t="shared" si="5"/>
        <v>914.81000000000006</v>
      </c>
      <c r="U9" s="126">
        <f t="shared" si="6"/>
        <v>4381.76</v>
      </c>
      <c r="V9" s="127">
        <v>4382</v>
      </c>
      <c r="W9" s="114">
        <v>4.3499999999999996</v>
      </c>
      <c r="X9" s="123">
        <v>53663</v>
      </c>
      <c r="Y9" s="130">
        <f t="shared" si="7"/>
        <v>785</v>
      </c>
      <c r="Z9" s="125">
        <f t="shared" si="8"/>
        <v>3414.7499999999995</v>
      </c>
      <c r="AA9" s="114">
        <v>2.27</v>
      </c>
      <c r="AB9" s="123">
        <v>25116</v>
      </c>
      <c r="AC9" s="130">
        <f t="shared" si="9"/>
        <v>402</v>
      </c>
      <c r="AD9" s="125">
        <f t="shared" si="10"/>
        <v>912.54</v>
      </c>
      <c r="AE9" s="126">
        <f t="shared" si="11"/>
        <v>4327.2899999999991</v>
      </c>
      <c r="AF9" s="127">
        <v>4327</v>
      </c>
      <c r="AG9" s="114">
        <v>4.3499999999999996</v>
      </c>
      <c r="AH9" s="123">
        <v>54206</v>
      </c>
      <c r="AI9" s="129">
        <f t="shared" si="12"/>
        <v>543</v>
      </c>
      <c r="AJ9" s="125">
        <f t="shared" si="52"/>
        <v>2362.0499999999997</v>
      </c>
      <c r="AK9" s="114">
        <v>2.27</v>
      </c>
      <c r="AL9" s="123">
        <v>25407</v>
      </c>
      <c r="AM9" s="129">
        <f t="shared" si="13"/>
        <v>291</v>
      </c>
      <c r="AN9" s="125">
        <f t="shared" si="53"/>
        <v>660.57</v>
      </c>
      <c r="AO9" s="131">
        <f t="shared" si="14"/>
        <v>3022.62</v>
      </c>
      <c r="AP9" s="127">
        <v>3023</v>
      </c>
      <c r="AQ9" s="114">
        <v>4.3499999999999996</v>
      </c>
      <c r="AR9" s="123">
        <v>54881</v>
      </c>
      <c r="AS9" s="130">
        <f t="shared" si="15"/>
        <v>675</v>
      </c>
      <c r="AT9" s="125">
        <f t="shared" si="16"/>
        <v>2936.2499999999995</v>
      </c>
      <c r="AU9" s="114">
        <v>2.27</v>
      </c>
      <c r="AV9" s="123">
        <v>25779</v>
      </c>
      <c r="AW9" s="130">
        <f t="shared" si="17"/>
        <v>372</v>
      </c>
      <c r="AX9" s="125">
        <f t="shared" si="18"/>
        <v>844.44</v>
      </c>
      <c r="AY9" s="131">
        <f t="shared" si="19"/>
        <v>3780.6899999999996</v>
      </c>
      <c r="AZ9" s="127">
        <v>3781</v>
      </c>
      <c r="BA9" s="114">
        <v>4.3499999999999996</v>
      </c>
      <c r="BB9" s="123">
        <v>55330</v>
      </c>
      <c r="BC9" s="130">
        <f t="shared" si="20"/>
        <v>449</v>
      </c>
      <c r="BD9" s="125">
        <f t="shared" si="21"/>
        <v>1953.1499999999999</v>
      </c>
      <c r="BE9" s="114">
        <v>2.27</v>
      </c>
      <c r="BF9" s="123">
        <v>25926</v>
      </c>
      <c r="BG9" s="130">
        <f t="shared" si="22"/>
        <v>147</v>
      </c>
      <c r="BH9" s="125">
        <f t="shared" si="23"/>
        <v>333.69</v>
      </c>
      <c r="BI9" s="131">
        <f t="shared" si="24"/>
        <v>2286.8399999999997</v>
      </c>
      <c r="BJ9" s="127">
        <v>2287</v>
      </c>
      <c r="BK9" s="114">
        <v>4.49</v>
      </c>
      <c r="BL9" s="123">
        <v>55817</v>
      </c>
      <c r="BM9" s="130">
        <f t="shared" si="25"/>
        <v>487</v>
      </c>
      <c r="BN9" s="125">
        <f t="shared" si="26"/>
        <v>2186.63</v>
      </c>
      <c r="BO9" s="114">
        <v>2.4300000000000002</v>
      </c>
      <c r="BP9" s="123">
        <v>26144</v>
      </c>
      <c r="BQ9" s="130">
        <f t="shared" si="27"/>
        <v>218</v>
      </c>
      <c r="BR9" s="125">
        <f t="shared" si="28"/>
        <v>529.74</v>
      </c>
      <c r="BS9" s="131">
        <f t="shared" si="29"/>
        <v>2716.37</v>
      </c>
      <c r="BT9" s="127">
        <v>2716</v>
      </c>
      <c r="BU9" s="114">
        <v>4.49</v>
      </c>
      <c r="BV9" s="123">
        <v>56149</v>
      </c>
      <c r="BW9" s="130">
        <f t="shared" si="30"/>
        <v>332</v>
      </c>
      <c r="BX9" s="125">
        <f t="shared" si="31"/>
        <v>1490.68</v>
      </c>
      <c r="BY9" s="114">
        <v>2.4300000000000002</v>
      </c>
      <c r="BZ9" s="123">
        <v>26305</v>
      </c>
      <c r="CA9" s="130">
        <f t="shared" si="32"/>
        <v>161</v>
      </c>
      <c r="CB9" s="125">
        <f t="shared" si="33"/>
        <v>391.23</v>
      </c>
      <c r="CC9" s="131">
        <f t="shared" si="34"/>
        <v>1881.91</v>
      </c>
      <c r="CD9" s="127">
        <v>1882</v>
      </c>
      <c r="CE9" s="114">
        <v>4.49</v>
      </c>
      <c r="CF9" s="123">
        <v>56822</v>
      </c>
      <c r="CG9" s="129">
        <f t="shared" si="35"/>
        <v>673</v>
      </c>
      <c r="CH9" s="125">
        <f t="shared" si="49"/>
        <v>3021.77</v>
      </c>
      <c r="CI9" s="114">
        <v>2.4300000000000002</v>
      </c>
      <c r="CJ9" s="123">
        <v>26640</v>
      </c>
      <c r="CK9" s="129">
        <f t="shared" si="36"/>
        <v>335</v>
      </c>
      <c r="CL9" s="125">
        <f t="shared" si="37"/>
        <v>814.05000000000007</v>
      </c>
      <c r="CM9" s="127">
        <f t="shared" si="38"/>
        <v>3835.82</v>
      </c>
      <c r="CN9" s="127">
        <v>3836</v>
      </c>
      <c r="CO9" s="114">
        <v>4.49</v>
      </c>
      <c r="CP9" s="123">
        <v>57730</v>
      </c>
      <c r="CQ9" s="130">
        <f t="shared" si="39"/>
        <v>908</v>
      </c>
      <c r="CR9" s="125">
        <f t="shared" si="40"/>
        <v>4076.92</v>
      </c>
      <c r="CS9" s="114">
        <v>2.4300000000000002</v>
      </c>
      <c r="CT9" s="123">
        <v>27083</v>
      </c>
      <c r="CU9" s="130">
        <f t="shared" si="41"/>
        <v>443</v>
      </c>
      <c r="CV9" s="125">
        <f t="shared" si="50"/>
        <v>1076.49</v>
      </c>
      <c r="CW9" s="131">
        <f t="shared" si="42"/>
        <v>5153.41</v>
      </c>
      <c r="CX9" s="127"/>
      <c r="CY9" s="114">
        <v>4.49</v>
      </c>
      <c r="CZ9" s="123">
        <v>58438</v>
      </c>
      <c r="DA9" s="130">
        <f t="shared" si="43"/>
        <v>708</v>
      </c>
      <c r="DB9" s="132">
        <f t="shared" si="44"/>
        <v>3178.92</v>
      </c>
      <c r="DC9" s="114">
        <v>2.4300000000000002</v>
      </c>
      <c r="DD9" s="123">
        <v>27439</v>
      </c>
      <c r="DE9" s="130">
        <f t="shared" si="45"/>
        <v>356</v>
      </c>
      <c r="DF9" s="132">
        <f t="shared" si="46"/>
        <v>865.08</v>
      </c>
      <c r="DG9" s="133">
        <f t="shared" si="47"/>
        <v>4044</v>
      </c>
      <c r="DH9" s="131"/>
      <c r="DI9" s="114">
        <v>4.49</v>
      </c>
      <c r="DJ9" s="130"/>
      <c r="DK9" s="130"/>
      <c r="DL9" s="132"/>
      <c r="DM9" s="114">
        <v>2.4300000000000002</v>
      </c>
      <c r="DN9" s="130"/>
      <c r="DO9" s="130"/>
      <c r="DP9" s="132"/>
      <c r="DQ9" s="131">
        <f t="shared" si="48"/>
        <v>0</v>
      </c>
      <c r="DR9" s="131"/>
      <c r="DS9" s="134"/>
      <c r="DT9" s="135"/>
      <c r="DU9" s="26"/>
    </row>
    <row r="10" spans="1:125" ht="12.75" customHeight="1">
      <c r="A10" s="82" t="s">
        <v>150</v>
      </c>
      <c r="B10" s="136" t="s">
        <v>151</v>
      </c>
      <c r="C10" s="114">
        <v>4.3499999999999996</v>
      </c>
      <c r="D10" s="137">
        <v>21161</v>
      </c>
      <c r="E10" s="130">
        <f>D10-21740</f>
        <v>-579</v>
      </c>
      <c r="F10" s="125">
        <f t="shared" si="0"/>
        <v>-2518.6499999999996</v>
      </c>
      <c r="G10" s="114">
        <v>2.27</v>
      </c>
      <c r="H10" s="137">
        <v>7829</v>
      </c>
      <c r="I10" s="130">
        <f>H10-8114</f>
        <v>-285</v>
      </c>
      <c r="J10" s="125">
        <f t="shared" si="1"/>
        <v>-646.95000000000005</v>
      </c>
      <c r="K10" s="126">
        <f t="shared" si="51"/>
        <v>-3165.5999999999995</v>
      </c>
      <c r="L10" s="127">
        <v>0</v>
      </c>
      <c r="M10" s="114">
        <v>4.3499999999999996</v>
      </c>
      <c r="N10" s="141">
        <v>21256</v>
      </c>
      <c r="O10" s="129">
        <f t="shared" si="2"/>
        <v>95</v>
      </c>
      <c r="P10" s="125">
        <f t="shared" si="3"/>
        <v>413.24999999999994</v>
      </c>
      <c r="Q10" s="114">
        <v>2.27</v>
      </c>
      <c r="R10" s="141">
        <v>7876</v>
      </c>
      <c r="S10" s="129">
        <f t="shared" si="4"/>
        <v>47</v>
      </c>
      <c r="T10" s="125">
        <f t="shared" si="5"/>
        <v>106.69</v>
      </c>
      <c r="U10" s="126">
        <f t="shared" si="6"/>
        <v>519.93999999999994</v>
      </c>
      <c r="V10" s="127">
        <v>520</v>
      </c>
      <c r="W10" s="114">
        <v>4.3499999999999996</v>
      </c>
      <c r="X10" s="123">
        <v>21352</v>
      </c>
      <c r="Y10" s="130">
        <f t="shared" si="7"/>
        <v>96</v>
      </c>
      <c r="Z10" s="125">
        <f t="shared" si="8"/>
        <v>417.59999999999997</v>
      </c>
      <c r="AA10" s="114">
        <v>2.27</v>
      </c>
      <c r="AB10" s="123">
        <v>7924</v>
      </c>
      <c r="AC10" s="130">
        <f t="shared" si="9"/>
        <v>48</v>
      </c>
      <c r="AD10" s="125">
        <f t="shared" si="10"/>
        <v>108.96000000000001</v>
      </c>
      <c r="AE10" s="126">
        <f t="shared" si="11"/>
        <v>526.55999999999995</v>
      </c>
      <c r="AF10" s="127">
        <v>527</v>
      </c>
      <c r="AG10" s="114">
        <v>4.3499999999999996</v>
      </c>
      <c r="AH10" s="123">
        <v>21421</v>
      </c>
      <c r="AI10" s="129">
        <f t="shared" si="12"/>
        <v>69</v>
      </c>
      <c r="AJ10" s="125">
        <f t="shared" si="52"/>
        <v>300.14999999999998</v>
      </c>
      <c r="AK10" s="114">
        <v>2.27</v>
      </c>
      <c r="AL10" s="123">
        <v>7962</v>
      </c>
      <c r="AM10" s="129">
        <f t="shared" si="13"/>
        <v>38</v>
      </c>
      <c r="AN10" s="125">
        <f t="shared" si="53"/>
        <v>86.26</v>
      </c>
      <c r="AO10" s="131">
        <f t="shared" si="14"/>
        <v>386.40999999999997</v>
      </c>
      <c r="AP10" s="127">
        <v>386</v>
      </c>
      <c r="AQ10" s="114">
        <v>4.3499999999999996</v>
      </c>
      <c r="AR10" s="123">
        <v>21703</v>
      </c>
      <c r="AS10" s="130">
        <f t="shared" si="15"/>
        <v>282</v>
      </c>
      <c r="AT10" s="125">
        <f t="shared" si="16"/>
        <v>1226.6999999999998</v>
      </c>
      <c r="AU10" s="114">
        <v>2.27</v>
      </c>
      <c r="AV10" s="123">
        <v>8068</v>
      </c>
      <c r="AW10" s="130">
        <f t="shared" si="17"/>
        <v>106</v>
      </c>
      <c r="AX10" s="125">
        <f t="shared" si="18"/>
        <v>240.62</v>
      </c>
      <c r="AY10" s="131">
        <f t="shared" si="19"/>
        <v>1467.3199999999997</v>
      </c>
      <c r="AZ10" s="127">
        <v>1467</v>
      </c>
      <c r="BA10" s="114">
        <v>4.3499999999999996</v>
      </c>
      <c r="BB10" s="123">
        <v>22034</v>
      </c>
      <c r="BC10" s="130">
        <f t="shared" si="20"/>
        <v>331</v>
      </c>
      <c r="BD10" s="125">
        <f t="shared" si="21"/>
        <v>1439.85</v>
      </c>
      <c r="BE10" s="114">
        <v>2.27</v>
      </c>
      <c r="BF10" s="123">
        <v>8180</v>
      </c>
      <c r="BG10" s="130">
        <f t="shared" si="22"/>
        <v>112</v>
      </c>
      <c r="BH10" s="125">
        <f t="shared" si="23"/>
        <v>254.24</v>
      </c>
      <c r="BI10" s="131">
        <f t="shared" si="24"/>
        <v>1694.09</v>
      </c>
      <c r="BJ10" s="127">
        <v>1694</v>
      </c>
      <c r="BK10" s="114">
        <v>4.49</v>
      </c>
      <c r="BL10" s="123">
        <v>22360</v>
      </c>
      <c r="BM10" s="130">
        <f t="shared" si="25"/>
        <v>326</v>
      </c>
      <c r="BN10" s="125">
        <f t="shared" si="26"/>
        <v>1463.74</v>
      </c>
      <c r="BO10" s="114">
        <v>2.4300000000000002</v>
      </c>
      <c r="BP10" s="123">
        <v>8276</v>
      </c>
      <c r="BQ10" s="130">
        <f t="shared" si="27"/>
        <v>96</v>
      </c>
      <c r="BR10" s="125">
        <f t="shared" si="28"/>
        <v>233.28000000000003</v>
      </c>
      <c r="BS10" s="131">
        <f t="shared" si="29"/>
        <v>1697.02</v>
      </c>
      <c r="BT10" s="127">
        <v>1697</v>
      </c>
      <c r="BU10" s="114">
        <v>4.49</v>
      </c>
      <c r="BV10" s="123">
        <v>22494</v>
      </c>
      <c r="BW10" s="130">
        <f t="shared" si="30"/>
        <v>134</v>
      </c>
      <c r="BX10" s="125">
        <f t="shared" si="31"/>
        <v>601.66000000000008</v>
      </c>
      <c r="BY10" s="114">
        <v>2.4300000000000002</v>
      </c>
      <c r="BZ10" s="123">
        <v>8353</v>
      </c>
      <c r="CA10" s="130">
        <f t="shared" si="32"/>
        <v>77</v>
      </c>
      <c r="CB10" s="125">
        <f t="shared" si="33"/>
        <v>187.11</v>
      </c>
      <c r="CC10" s="131">
        <f t="shared" si="34"/>
        <v>788.7700000000001</v>
      </c>
      <c r="CD10" s="127">
        <v>789</v>
      </c>
      <c r="CE10" s="114">
        <v>4.49</v>
      </c>
      <c r="CF10" s="123">
        <v>23012</v>
      </c>
      <c r="CG10" s="129">
        <f t="shared" si="35"/>
        <v>518</v>
      </c>
      <c r="CH10" s="125">
        <f t="shared" si="49"/>
        <v>2325.8200000000002</v>
      </c>
      <c r="CI10" s="114">
        <v>2.4300000000000002</v>
      </c>
      <c r="CJ10" s="123">
        <v>8563</v>
      </c>
      <c r="CK10" s="129">
        <f t="shared" si="36"/>
        <v>210</v>
      </c>
      <c r="CL10" s="125">
        <f t="shared" si="37"/>
        <v>510.3</v>
      </c>
      <c r="CM10" s="127">
        <f t="shared" si="38"/>
        <v>2836.1200000000003</v>
      </c>
      <c r="CN10" s="127">
        <v>2836</v>
      </c>
      <c r="CO10" s="114">
        <v>4.49</v>
      </c>
      <c r="CP10" s="123">
        <v>23759</v>
      </c>
      <c r="CQ10" s="130">
        <f t="shared" si="39"/>
        <v>747</v>
      </c>
      <c r="CR10" s="125">
        <f t="shared" si="40"/>
        <v>3354.03</v>
      </c>
      <c r="CS10" s="114">
        <v>2.4300000000000002</v>
      </c>
      <c r="CT10" s="123">
        <v>8871</v>
      </c>
      <c r="CU10" s="130">
        <f t="shared" si="41"/>
        <v>308</v>
      </c>
      <c r="CV10" s="125">
        <f t="shared" si="50"/>
        <v>748.44</v>
      </c>
      <c r="CW10" s="131">
        <f t="shared" si="42"/>
        <v>4102.47</v>
      </c>
      <c r="CX10" s="127"/>
      <c r="CY10" s="114">
        <v>4.49</v>
      </c>
      <c r="CZ10" s="123">
        <v>23817</v>
      </c>
      <c r="DA10" s="130">
        <f t="shared" si="43"/>
        <v>58</v>
      </c>
      <c r="DB10" s="132">
        <f t="shared" si="44"/>
        <v>260.42</v>
      </c>
      <c r="DC10" s="114">
        <v>2.4300000000000002</v>
      </c>
      <c r="DD10" s="123">
        <v>8901</v>
      </c>
      <c r="DE10" s="130">
        <f t="shared" si="45"/>
        <v>30</v>
      </c>
      <c r="DF10" s="132">
        <f t="shared" si="46"/>
        <v>72.900000000000006</v>
      </c>
      <c r="DG10" s="133">
        <f t="shared" si="47"/>
        <v>333.32000000000005</v>
      </c>
      <c r="DH10" s="131"/>
      <c r="DI10" s="114">
        <v>4.49</v>
      </c>
      <c r="DJ10" s="130"/>
      <c r="DK10" s="130"/>
      <c r="DL10" s="132"/>
      <c r="DM10" s="114">
        <v>2.4300000000000002</v>
      </c>
      <c r="DN10" s="130"/>
      <c r="DO10" s="130"/>
      <c r="DP10" s="132"/>
      <c r="DQ10" s="131">
        <f t="shared" si="48"/>
        <v>0</v>
      </c>
      <c r="DR10" s="131"/>
      <c r="DS10" s="134"/>
      <c r="DT10" s="135"/>
      <c r="DU10" s="26"/>
    </row>
    <row r="11" spans="1:125" ht="12.75" customHeight="1">
      <c r="A11" s="82" t="s">
        <v>152</v>
      </c>
      <c r="B11" s="136" t="s">
        <v>153</v>
      </c>
      <c r="C11" s="114">
        <v>4.3499999999999996</v>
      </c>
      <c r="D11" s="137">
        <v>47124</v>
      </c>
      <c r="E11" s="130">
        <f>D11-46558</f>
        <v>566</v>
      </c>
      <c r="F11" s="125">
        <f t="shared" si="0"/>
        <v>2462.1</v>
      </c>
      <c r="G11" s="114">
        <v>2.27</v>
      </c>
      <c r="H11" s="137">
        <v>18865</v>
      </c>
      <c r="I11" s="130">
        <f>H11-18681</f>
        <v>184</v>
      </c>
      <c r="J11" s="125">
        <f t="shared" si="1"/>
        <v>417.68</v>
      </c>
      <c r="K11" s="126">
        <f t="shared" si="51"/>
        <v>2879.7799999999997</v>
      </c>
      <c r="L11" s="127">
        <v>2880</v>
      </c>
      <c r="M11" s="114">
        <v>4.3499999999999996</v>
      </c>
      <c r="N11" s="139">
        <v>47659</v>
      </c>
      <c r="O11" s="129">
        <f t="shared" si="2"/>
        <v>535</v>
      </c>
      <c r="P11" s="125">
        <f t="shared" si="3"/>
        <v>2327.25</v>
      </c>
      <c r="Q11" s="114">
        <v>2.27</v>
      </c>
      <c r="R11" s="140">
        <v>19024</v>
      </c>
      <c r="S11" s="129">
        <f t="shared" si="4"/>
        <v>159</v>
      </c>
      <c r="T11" s="125">
        <f t="shared" si="5"/>
        <v>360.93</v>
      </c>
      <c r="U11" s="126">
        <f t="shared" si="6"/>
        <v>2688.18</v>
      </c>
      <c r="V11" s="127">
        <v>2688</v>
      </c>
      <c r="W11" s="114">
        <v>4.3499999999999996</v>
      </c>
      <c r="X11" s="123">
        <v>48046</v>
      </c>
      <c r="Y11" s="130">
        <f t="shared" si="7"/>
        <v>387</v>
      </c>
      <c r="Z11" s="125">
        <f t="shared" si="8"/>
        <v>1683.4499999999998</v>
      </c>
      <c r="AA11" s="114">
        <v>2.27</v>
      </c>
      <c r="AB11" s="123">
        <v>19166</v>
      </c>
      <c r="AC11" s="130">
        <f t="shared" si="9"/>
        <v>142</v>
      </c>
      <c r="AD11" s="125">
        <f t="shared" si="10"/>
        <v>322.33999999999997</v>
      </c>
      <c r="AE11" s="126">
        <f t="shared" si="11"/>
        <v>2005.7899999999997</v>
      </c>
      <c r="AF11" s="127">
        <v>2006</v>
      </c>
      <c r="AG11" s="114">
        <v>4.3499999999999996</v>
      </c>
      <c r="AH11" s="123">
        <v>48342</v>
      </c>
      <c r="AI11" s="129">
        <f t="shared" si="12"/>
        <v>296</v>
      </c>
      <c r="AJ11" s="125">
        <f t="shared" si="52"/>
        <v>1287.5999999999999</v>
      </c>
      <c r="AK11" s="114">
        <v>2.27</v>
      </c>
      <c r="AL11" s="123">
        <v>19285</v>
      </c>
      <c r="AM11" s="129">
        <f t="shared" si="13"/>
        <v>119</v>
      </c>
      <c r="AN11" s="125">
        <f t="shared" si="53"/>
        <v>270.13</v>
      </c>
      <c r="AO11" s="131">
        <f t="shared" si="14"/>
        <v>1557.73</v>
      </c>
      <c r="AP11" s="127">
        <v>1558</v>
      </c>
      <c r="AQ11" s="114">
        <v>4.3499999999999996</v>
      </c>
      <c r="AR11" s="123">
        <v>48816</v>
      </c>
      <c r="AS11" s="130">
        <f t="shared" si="15"/>
        <v>474</v>
      </c>
      <c r="AT11" s="125">
        <f t="shared" si="16"/>
        <v>2061.8999999999996</v>
      </c>
      <c r="AU11" s="114">
        <v>2.27</v>
      </c>
      <c r="AV11" s="123">
        <v>19451</v>
      </c>
      <c r="AW11" s="130">
        <f t="shared" si="17"/>
        <v>166</v>
      </c>
      <c r="AX11" s="125">
        <f t="shared" si="18"/>
        <v>376.82</v>
      </c>
      <c r="AY11" s="131">
        <f t="shared" si="19"/>
        <v>2438.7199999999998</v>
      </c>
      <c r="AZ11" s="127">
        <v>2439</v>
      </c>
      <c r="BA11" s="114">
        <v>4.3499999999999996</v>
      </c>
      <c r="BB11" s="123">
        <v>49330</v>
      </c>
      <c r="BC11" s="130">
        <f t="shared" si="20"/>
        <v>514</v>
      </c>
      <c r="BD11" s="125">
        <f t="shared" si="21"/>
        <v>2235.8999999999996</v>
      </c>
      <c r="BE11" s="114">
        <v>2.27</v>
      </c>
      <c r="BF11" s="123">
        <v>19615</v>
      </c>
      <c r="BG11" s="130">
        <f t="shared" si="22"/>
        <v>164</v>
      </c>
      <c r="BH11" s="125">
        <f t="shared" si="23"/>
        <v>372.28000000000003</v>
      </c>
      <c r="BI11" s="131">
        <f t="shared" si="24"/>
        <v>2608.1799999999998</v>
      </c>
      <c r="BJ11" s="127">
        <v>2608</v>
      </c>
      <c r="BK11" s="114">
        <v>4.49</v>
      </c>
      <c r="BL11" s="123">
        <v>49758</v>
      </c>
      <c r="BM11" s="130">
        <f t="shared" si="25"/>
        <v>428</v>
      </c>
      <c r="BN11" s="125">
        <f t="shared" si="26"/>
        <v>1921.72</v>
      </c>
      <c r="BO11" s="114">
        <v>2.4300000000000002</v>
      </c>
      <c r="BP11" s="123">
        <v>19785</v>
      </c>
      <c r="BQ11" s="130">
        <f t="shared" si="27"/>
        <v>170</v>
      </c>
      <c r="BR11" s="125">
        <f t="shared" si="28"/>
        <v>413.1</v>
      </c>
      <c r="BS11" s="131">
        <f t="shared" si="29"/>
        <v>2334.8200000000002</v>
      </c>
      <c r="BT11" s="127">
        <v>2335</v>
      </c>
      <c r="BU11" s="114">
        <v>4.49</v>
      </c>
      <c r="BV11" s="123">
        <v>50222</v>
      </c>
      <c r="BW11" s="130">
        <f t="shared" si="30"/>
        <v>464</v>
      </c>
      <c r="BX11" s="125">
        <f t="shared" si="31"/>
        <v>2083.36</v>
      </c>
      <c r="BY11" s="114">
        <v>2.4300000000000002</v>
      </c>
      <c r="BZ11" s="123">
        <v>19976</v>
      </c>
      <c r="CA11" s="130">
        <f t="shared" si="32"/>
        <v>191</v>
      </c>
      <c r="CB11" s="125">
        <f t="shared" si="33"/>
        <v>464.13000000000005</v>
      </c>
      <c r="CC11" s="131">
        <f t="shared" si="34"/>
        <v>2547.4900000000002</v>
      </c>
      <c r="CD11" s="127">
        <v>2547</v>
      </c>
      <c r="CE11" s="114">
        <v>4.49</v>
      </c>
      <c r="CF11" s="123">
        <v>50580</v>
      </c>
      <c r="CG11" s="129">
        <f t="shared" si="35"/>
        <v>358</v>
      </c>
      <c r="CH11" s="125">
        <f t="shared" si="49"/>
        <v>1607.42</v>
      </c>
      <c r="CI11" s="114">
        <v>2.4300000000000002</v>
      </c>
      <c r="CJ11" s="123">
        <v>20119</v>
      </c>
      <c r="CK11" s="129">
        <f t="shared" si="36"/>
        <v>143</v>
      </c>
      <c r="CL11" s="125">
        <f t="shared" si="37"/>
        <v>347.49</v>
      </c>
      <c r="CM11" s="127">
        <f t="shared" si="38"/>
        <v>1954.91</v>
      </c>
      <c r="CN11" s="127">
        <v>1955</v>
      </c>
      <c r="CO11" s="114">
        <v>4.49</v>
      </c>
      <c r="CP11" s="123">
        <v>50875</v>
      </c>
      <c r="CQ11" s="130">
        <f t="shared" si="39"/>
        <v>295</v>
      </c>
      <c r="CR11" s="125">
        <f t="shared" si="40"/>
        <v>1324.55</v>
      </c>
      <c r="CS11" s="114">
        <v>2.4300000000000002</v>
      </c>
      <c r="CT11" s="123">
        <v>20238</v>
      </c>
      <c r="CU11" s="130">
        <f t="shared" si="41"/>
        <v>119</v>
      </c>
      <c r="CV11" s="125">
        <f t="shared" si="50"/>
        <v>289.17</v>
      </c>
      <c r="CW11" s="131">
        <f t="shared" si="42"/>
        <v>1613.72</v>
      </c>
      <c r="CX11" s="127">
        <v>1614</v>
      </c>
      <c r="CY11" s="114">
        <v>4.49</v>
      </c>
      <c r="CZ11" s="123">
        <v>51205</v>
      </c>
      <c r="DA11" s="130">
        <f t="shared" si="43"/>
        <v>330</v>
      </c>
      <c r="DB11" s="132">
        <f t="shared" si="44"/>
        <v>1481.7</v>
      </c>
      <c r="DC11" s="114">
        <v>2.4300000000000002</v>
      </c>
      <c r="DD11" s="123">
        <v>20369</v>
      </c>
      <c r="DE11" s="130">
        <f t="shared" si="45"/>
        <v>131</v>
      </c>
      <c r="DF11" s="132">
        <f t="shared" si="46"/>
        <v>318.33000000000004</v>
      </c>
      <c r="DG11" s="133">
        <f t="shared" si="47"/>
        <v>1800.0300000000002</v>
      </c>
      <c r="DH11" s="127"/>
      <c r="DI11" s="114">
        <v>4.49</v>
      </c>
      <c r="DJ11" s="130"/>
      <c r="DK11" s="130"/>
      <c r="DL11" s="132"/>
      <c r="DM11" s="114">
        <v>2.4300000000000002</v>
      </c>
      <c r="DN11" s="130"/>
      <c r="DO11" s="130"/>
      <c r="DP11" s="132"/>
      <c r="DQ11" s="131">
        <f t="shared" si="48"/>
        <v>0</v>
      </c>
      <c r="DR11" s="131"/>
      <c r="DS11" s="134"/>
      <c r="DT11" s="135"/>
      <c r="DU11" s="26"/>
    </row>
    <row r="12" spans="1:125" ht="12.75" customHeight="1">
      <c r="A12" s="82" t="s">
        <v>154</v>
      </c>
      <c r="B12" s="136" t="s">
        <v>155</v>
      </c>
      <c r="C12" s="114">
        <v>4.3499999999999996</v>
      </c>
      <c r="D12" s="137">
        <v>0</v>
      </c>
      <c r="E12" s="130">
        <f>D12-0</f>
        <v>0</v>
      </c>
      <c r="F12" s="125">
        <f t="shared" si="0"/>
        <v>0</v>
      </c>
      <c r="G12" s="114">
        <v>2.27</v>
      </c>
      <c r="H12" s="137">
        <v>0</v>
      </c>
      <c r="I12" s="130">
        <f>H12-0</f>
        <v>0</v>
      </c>
      <c r="J12" s="125">
        <f t="shared" si="1"/>
        <v>0</v>
      </c>
      <c r="K12" s="126">
        <f t="shared" si="51"/>
        <v>0</v>
      </c>
      <c r="L12" s="127">
        <v>0</v>
      </c>
      <c r="M12" s="114">
        <v>4.3499999999999996</v>
      </c>
      <c r="N12" s="139">
        <v>0</v>
      </c>
      <c r="O12" s="129">
        <f t="shared" si="2"/>
        <v>0</v>
      </c>
      <c r="P12" s="125">
        <f t="shared" si="3"/>
        <v>0</v>
      </c>
      <c r="Q12" s="114">
        <v>2.27</v>
      </c>
      <c r="R12" s="140">
        <v>0</v>
      </c>
      <c r="S12" s="129">
        <f t="shared" si="4"/>
        <v>0</v>
      </c>
      <c r="T12" s="125">
        <f t="shared" si="5"/>
        <v>0</v>
      </c>
      <c r="U12" s="126">
        <f t="shared" si="6"/>
        <v>0</v>
      </c>
      <c r="V12" s="127">
        <v>0</v>
      </c>
      <c r="W12" s="114">
        <v>4.3499999999999996</v>
      </c>
      <c r="X12" s="123">
        <v>0</v>
      </c>
      <c r="Y12" s="130">
        <f t="shared" si="7"/>
        <v>0</v>
      </c>
      <c r="Z12" s="125">
        <f t="shared" si="8"/>
        <v>0</v>
      </c>
      <c r="AA12" s="114">
        <v>2.27</v>
      </c>
      <c r="AB12" s="123">
        <v>0</v>
      </c>
      <c r="AC12" s="130">
        <f t="shared" si="9"/>
        <v>0</v>
      </c>
      <c r="AD12" s="125">
        <f t="shared" si="10"/>
        <v>0</v>
      </c>
      <c r="AE12" s="126">
        <f t="shared" si="11"/>
        <v>0</v>
      </c>
      <c r="AF12" s="127">
        <v>0</v>
      </c>
      <c r="AG12" s="114">
        <v>4.3499999999999996</v>
      </c>
      <c r="AH12" s="123">
        <v>0</v>
      </c>
      <c r="AI12" s="129">
        <f t="shared" si="12"/>
        <v>0</v>
      </c>
      <c r="AJ12" s="125">
        <f t="shared" si="52"/>
        <v>0</v>
      </c>
      <c r="AK12" s="114">
        <v>2.27</v>
      </c>
      <c r="AL12" s="123">
        <v>0</v>
      </c>
      <c r="AM12" s="129">
        <f t="shared" si="13"/>
        <v>0</v>
      </c>
      <c r="AN12" s="125">
        <f t="shared" si="53"/>
        <v>0</v>
      </c>
      <c r="AO12" s="131">
        <f t="shared" si="14"/>
        <v>0</v>
      </c>
      <c r="AP12" s="127">
        <v>0</v>
      </c>
      <c r="AQ12" s="114">
        <v>4.3499999999999996</v>
      </c>
      <c r="AR12" s="123">
        <v>0</v>
      </c>
      <c r="AS12" s="130">
        <f t="shared" si="15"/>
        <v>0</v>
      </c>
      <c r="AT12" s="125">
        <f t="shared" si="16"/>
        <v>0</v>
      </c>
      <c r="AU12" s="114">
        <v>2.27</v>
      </c>
      <c r="AV12" s="123">
        <v>0</v>
      </c>
      <c r="AW12" s="130">
        <f t="shared" si="17"/>
        <v>0</v>
      </c>
      <c r="AX12" s="125">
        <f t="shared" si="18"/>
        <v>0</v>
      </c>
      <c r="AY12" s="131">
        <f t="shared" si="19"/>
        <v>0</v>
      </c>
      <c r="AZ12" s="127">
        <v>0</v>
      </c>
      <c r="BA12" s="114">
        <v>4.3499999999999996</v>
      </c>
      <c r="BB12" s="123">
        <v>0</v>
      </c>
      <c r="BC12" s="130">
        <f t="shared" si="20"/>
        <v>0</v>
      </c>
      <c r="BD12" s="125">
        <f t="shared" si="21"/>
        <v>0</v>
      </c>
      <c r="BE12" s="114">
        <v>2.27</v>
      </c>
      <c r="BF12" s="123">
        <v>0</v>
      </c>
      <c r="BG12" s="130">
        <f t="shared" si="22"/>
        <v>0</v>
      </c>
      <c r="BH12" s="125">
        <f t="shared" si="23"/>
        <v>0</v>
      </c>
      <c r="BI12" s="131">
        <f t="shared" si="24"/>
        <v>0</v>
      </c>
      <c r="BJ12" s="127">
        <v>0</v>
      </c>
      <c r="BK12" s="114">
        <v>4.49</v>
      </c>
      <c r="BL12" s="123">
        <v>0</v>
      </c>
      <c r="BM12" s="130">
        <f t="shared" si="25"/>
        <v>0</v>
      </c>
      <c r="BN12" s="125">
        <f t="shared" si="26"/>
        <v>0</v>
      </c>
      <c r="BO12" s="114">
        <v>2.4300000000000002</v>
      </c>
      <c r="BP12" s="123">
        <v>0</v>
      </c>
      <c r="BQ12" s="130">
        <f t="shared" si="27"/>
        <v>0</v>
      </c>
      <c r="BR12" s="125">
        <f t="shared" si="28"/>
        <v>0</v>
      </c>
      <c r="BS12" s="131">
        <f t="shared" si="29"/>
        <v>0</v>
      </c>
      <c r="BT12" s="127">
        <v>0</v>
      </c>
      <c r="BU12" s="114">
        <v>4.49</v>
      </c>
      <c r="BV12" s="123">
        <v>0</v>
      </c>
      <c r="BW12" s="130">
        <f t="shared" si="30"/>
        <v>0</v>
      </c>
      <c r="BX12" s="125">
        <f t="shared" si="31"/>
        <v>0</v>
      </c>
      <c r="BY12" s="114">
        <v>2.4300000000000002</v>
      </c>
      <c r="BZ12" s="123">
        <v>0</v>
      </c>
      <c r="CA12" s="130">
        <f t="shared" si="32"/>
        <v>0</v>
      </c>
      <c r="CB12" s="125">
        <f t="shared" si="33"/>
        <v>0</v>
      </c>
      <c r="CC12" s="131">
        <f t="shared" si="34"/>
        <v>0</v>
      </c>
      <c r="CD12" s="127">
        <v>0</v>
      </c>
      <c r="CE12" s="114">
        <v>4.49</v>
      </c>
      <c r="CF12" s="123">
        <v>0</v>
      </c>
      <c r="CG12" s="129">
        <f t="shared" si="35"/>
        <v>0</v>
      </c>
      <c r="CH12" s="125">
        <f t="shared" si="49"/>
        <v>0</v>
      </c>
      <c r="CI12" s="114">
        <v>2.4300000000000002</v>
      </c>
      <c r="CJ12" s="123">
        <v>0</v>
      </c>
      <c r="CK12" s="129">
        <f t="shared" si="36"/>
        <v>0</v>
      </c>
      <c r="CL12" s="125">
        <f t="shared" si="37"/>
        <v>0</v>
      </c>
      <c r="CM12" s="127">
        <f t="shared" si="38"/>
        <v>0</v>
      </c>
      <c r="CN12" s="127">
        <v>0</v>
      </c>
      <c r="CO12" s="114">
        <v>4.49</v>
      </c>
      <c r="CP12" s="123">
        <v>0</v>
      </c>
      <c r="CQ12" s="130">
        <f t="shared" si="39"/>
        <v>0</v>
      </c>
      <c r="CR12" s="125">
        <f t="shared" si="40"/>
        <v>0</v>
      </c>
      <c r="CS12" s="114">
        <v>2.4300000000000002</v>
      </c>
      <c r="CT12" s="123">
        <v>0</v>
      </c>
      <c r="CU12" s="130">
        <f t="shared" si="41"/>
        <v>0</v>
      </c>
      <c r="CV12" s="125">
        <f t="shared" si="50"/>
        <v>0</v>
      </c>
      <c r="CW12" s="131">
        <f t="shared" si="42"/>
        <v>0</v>
      </c>
      <c r="CX12" s="127">
        <v>0</v>
      </c>
      <c r="CY12" s="114">
        <v>4.49</v>
      </c>
      <c r="CZ12" s="123">
        <v>0</v>
      </c>
      <c r="DA12" s="130">
        <f t="shared" si="43"/>
        <v>0</v>
      </c>
      <c r="DB12" s="132">
        <f t="shared" si="44"/>
        <v>0</v>
      </c>
      <c r="DC12" s="114">
        <v>2.4300000000000002</v>
      </c>
      <c r="DD12" s="123">
        <v>0</v>
      </c>
      <c r="DE12" s="130">
        <f t="shared" si="45"/>
        <v>0</v>
      </c>
      <c r="DF12" s="132">
        <f t="shared" si="46"/>
        <v>0</v>
      </c>
      <c r="DG12" s="133">
        <f t="shared" si="47"/>
        <v>0</v>
      </c>
      <c r="DH12" s="131"/>
      <c r="DI12" s="114">
        <v>4.49</v>
      </c>
      <c r="DJ12" s="130"/>
      <c r="DK12" s="130"/>
      <c r="DL12" s="132"/>
      <c r="DM12" s="114">
        <v>2.4300000000000002</v>
      </c>
      <c r="DN12" s="130"/>
      <c r="DO12" s="130"/>
      <c r="DP12" s="132"/>
      <c r="DQ12" s="131">
        <f t="shared" si="48"/>
        <v>0</v>
      </c>
      <c r="DR12" s="131"/>
      <c r="DS12" s="134"/>
      <c r="DT12" s="135"/>
      <c r="DU12" s="26"/>
    </row>
    <row r="13" spans="1:125" ht="12.75" customHeight="1">
      <c r="A13" s="82" t="s">
        <v>156</v>
      </c>
      <c r="B13" s="136" t="s">
        <v>157</v>
      </c>
      <c r="C13" s="114">
        <v>4.3499999999999996</v>
      </c>
      <c r="D13" s="137">
        <v>25817</v>
      </c>
      <c r="E13" s="130">
        <f>D13-25127</f>
        <v>690</v>
      </c>
      <c r="F13" s="125">
        <f t="shared" si="0"/>
        <v>3001.4999999999995</v>
      </c>
      <c r="G13" s="114">
        <v>2.27</v>
      </c>
      <c r="H13" s="137">
        <v>12646</v>
      </c>
      <c r="I13" s="130">
        <f>H13-12340</f>
        <v>306</v>
      </c>
      <c r="J13" s="125">
        <f t="shared" si="1"/>
        <v>694.62</v>
      </c>
      <c r="K13" s="126">
        <f t="shared" si="51"/>
        <v>3696.1199999999994</v>
      </c>
      <c r="L13" s="127">
        <v>3696</v>
      </c>
      <c r="M13" s="114">
        <v>4.3499999999999996</v>
      </c>
      <c r="N13" s="139">
        <v>26295</v>
      </c>
      <c r="O13" s="129">
        <f t="shared" si="2"/>
        <v>478</v>
      </c>
      <c r="P13" s="125">
        <f t="shared" si="3"/>
        <v>2079.2999999999997</v>
      </c>
      <c r="Q13" s="114">
        <v>2.27</v>
      </c>
      <c r="R13" s="140">
        <v>12874</v>
      </c>
      <c r="S13" s="129">
        <f t="shared" si="4"/>
        <v>228</v>
      </c>
      <c r="T13" s="125">
        <f t="shared" si="5"/>
        <v>517.56000000000006</v>
      </c>
      <c r="U13" s="126">
        <f t="shared" si="6"/>
        <v>2596.8599999999997</v>
      </c>
      <c r="V13" s="127">
        <v>2597</v>
      </c>
      <c r="W13" s="114">
        <v>4.3499999999999996</v>
      </c>
      <c r="X13" s="123">
        <v>26617</v>
      </c>
      <c r="Y13" s="130">
        <f t="shared" si="7"/>
        <v>322</v>
      </c>
      <c r="Z13" s="125">
        <f t="shared" si="8"/>
        <v>1400.6999999999998</v>
      </c>
      <c r="AA13" s="114">
        <v>2.27</v>
      </c>
      <c r="AB13" s="123">
        <v>13044</v>
      </c>
      <c r="AC13" s="130">
        <f t="shared" si="9"/>
        <v>170</v>
      </c>
      <c r="AD13" s="125">
        <f t="shared" si="10"/>
        <v>385.9</v>
      </c>
      <c r="AE13" s="126">
        <f t="shared" si="11"/>
        <v>1786.6</v>
      </c>
      <c r="AF13" s="127">
        <v>1787</v>
      </c>
      <c r="AG13" s="114">
        <v>4.3499999999999996</v>
      </c>
      <c r="AH13" s="123">
        <v>26918</v>
      </c>
      <c r="AI13" s="129">
        <f t="shared" si="12"/>
        <v>301</v>
      </c>
      <c r="AJ13" s="125">
        <f t="shared" si="52"/>
        <v>1309.3499999999999</v>
      </c>
      <c r="AK13" s="114">
        <v>2.27</v>
      </c>
      <c r="AL13" s="123">
        <v>13204</v>
      </c>
      <c r="AM13" s="129">
        <f t="shared" si="13"/>
        <v>160</v>
      </c>
      <c r="AN13" s="125">
        <f t="shared" si="53"/>
        <v>363.2</v>
      </c>
      <c r="AO13" s="131">
        <f t="shared" si="14"/>
        <v>1672.55</v>
      </c>
      <c r="AP13" s="127">
        <v>1673</v>
      </c>
      <c r="AQ13" s="114">
        <v>4.3499999999999996</v>
      </c>
      <c r="AR13" s="123">
        <v>27275</v>
      </c>
      <c r="AS13" s="130">
        <f t="shared" si="15"/>
        <v>357</v>
      </c>
      <c r="AT13" s="125">
        <f t="shared" si="16"/>
        <v>1552.9499999999998</v>
      </c>
      <c r="AU13" s="114">
        <v>2.27</v>
      </c>
      <c r="AV13" s="123">
        <v>13398</v>
      </c>
      <c r="AW13" s="130">
        <f t="shared" si="17"/>
        <v>194</v>
      </c>
      <c r="AX13" s="125">
        <f t="shared" si="18"/>
        <v>440.38</v>
      </c>
      <c r="AY13" s="131">
        <f t="shared" si="19"/>
        <v>1993.33</v>
      </c>
      <c r="AZ13" s="127">
        <v>1993</v>
      </c>
      <c r="BA13" s="114">
        <v>4.3499999999999996</v>
      </c>
      <c r="BB13" s="123">
        <v>27576</v>
      </c>
      <c r="BC13" s="130">
        <f t="shared" si="20"/>
        <v>301</v>
      </c>
      <c r="BD13" s="125">
        <f t="shared" si="21"/>
        <v>1309.3499999999999</v>
      </c>
      <c r="BE13" s="114">
        <v>2.27</v>
      </c>
      <c r="BF13" s="123">
        <v>13579</v>
      </c>
      <c r="BG13" s="130">
        <f t="shared" si="22"/>
        <v>181</v>
      </c>
      <c r="BH13" s="125">
        <f t="shared" si="23"/>
        <v>410.87</v>
      </c>
      <c r="BI13" s="131">
        <f t="shared" si="24"/>
        <v>1720.2199999999998</v>
      </c>
      <c r="BJ13" s="127">
        <v>1720</v>
      </c>
      <c r="BK13" s="114">
        <v>4.49</v>
      </c>
      <c r="BL13" s="123">
        <v>27882</v>
      </c>
      <c r="BM13" s="130">
        <f t="shared" si="25"/>
        <v>306</v>
      </c>
      <c r="BN13" s="125">
        <f t="shared" si="26"/>
        <v>1373.94</v>
      </c>
      <c r="BO13" s="114">
        <v>2.4300000000000002</v>
      </c>
      <c r="BP13" s="123">
        <v>13754</v>
      </c>
      <c r="BQ13" s="130">
        <f t="shared" si="27"/>
        <v>175</v>
      </c>
      <c r="BR13" s="125">
        <f t="shared" si="28"/>
        <v>425.25</v>
      </c>
      <c r="BS13" s="131">
        <f t="shared" si="29"/>
        <v>1799.19</v>
      </c>
      <c r="BT13" s="127">
        <v>1799</v>
      </c>
      <c r="BU13" s="114">
        <v>4.49</v>
      </c>
      <c r="BV13" s="123">
        <v>28201</v>
      </c>
      <c r="BW13" s="130">
        <f t="shared" si="30"/>
        <v>319</v>
      </c>
      <c r="BX13" s="125">
        <f t="shared" si="31"/>
        <v>1432.3100000000002</v>
      </c>
      <c r="BY13" s="114">
        <v>2.4300000000000002</v>
      </c>
      <c r="BZ13" s="123">
        <v>13923</v>
      </c>
      <c r="CA13" s="130">
        <f t="shared" si="32"/>
        <v>169</v>
      </c>
      <c r="CB13" s="125">
        <f t="shared" si="33"/>
        <v>410.67</v>
      </c>
      <c r="CC13" s="131">
        <f t="shared" si="34"/>
        <v>1842.9800000000002</v>
      </c>
      <c r="CD13" s="127">
        <v>1843</v>
      </c>
      <c r="CE13" s="114">
        <v>4.49</v>
      </c>
      <c r="CF13" s="123">
        <v>28435</v>
      </c>
      <c r="CG13" s="129">
        <f t="shared" si="35"/>
        <v>234</v>
      </c>
      <c r="CH13" s="125">
        <f t="shared" si="49"/>
        <v>1050.6600000000001</v>
      </c>
      <c r="CI13" s="114">
        <v>2.4300000000000002</v>
      </c>
      <c r="CJ13" s="123">
        <v>14043</v>
      </c>
      <c r="CK13" s="129">
        <f t="shared" si="36"/>
        <v>120</v>
      </c>
      <c r="CL13" s="125">
        <f t="shared" si="37"/>
        <v>291.60000000000002</v>
      </c>
      <c r="CM13" s="127">
        <f t="shared" si="38"/>
        <v>1342.2600000000002</v>
      </c>
      <c r="CN13" s="127">
        <v>1342</v>
      </c>
      <c r="CO13" s="114">
        <v>4.49</v>
      </c>
      <c r="CP13" s="123">
        <v>28800</v>
      </c>
      <c r="CQ13" s="130">
        <f t="shared" si="39"/>
        <v>365</v>
      </c>
      <c r="CR13" s="125">
        <f t="shared" si="40"/>
        <v>1638.8500000000001</v>
      </c>
      <c r="CS13" s="114">
        <v>2.4300000000000002</v>
      </c>
      <c r="CT13" s="123">
        <v>14234</v>
      </c>
      <c r="CU13" s="130">
        <f t="shared" si="41"/>
        <v>191</v>
      </c>
      <c r="CV13" s="125">
        <f t="shared" si="50"/>
        <v>464.13000000000005</v>
      </c>
      <c r="CW13" s="131">
        <f t="shared" si="42"/>
        <v>2102.98</v>
      </c>
      <c r="CX13" s="127">
        <v>2103</v>
      </c>
      <c r="CY13" s="114">
        <v>4.49</v>
      </c>
      <c r="CZ13" s="123">
        <v>29170</v>
      </c>
      <c r="DA13" s="130">
        <f t="shared" si="43"/>
        <v>370</v>
      </c>
      <c r="DB13" s="132">
        <f t="shared" si="44"/>
        <v>1661.3000000000002</v>
      </c>
      <c r="DC13" s="114">
        <v>2.4300000000000002</v>
      </c>
      <c r="DD13" s="123">
        <v>14424</v>
      </c>
      <c r="DE13" s="130">
        <f t="shared" si="45"/>
        <v>190</v>
      </c>
      <c r="DF13" s="132">
        <f t="shared" si="46"/>
        <v>461.70000000000005</v>
      </c>
      <c r="DG13" s="133">
        <f t="shared" si="47"/>
        <v>2123</v>
      </c>
      <c r="DH13" s="184">
        <v>9854</v>
      </c>
      <c r="DI13" s="114">
        <v>4.49</v>
      </c>
      <c r="DJ13" s="130"/>
      <c r="DK13" s="130"/>
      <c r="DL13" s="132"/>
      <c r="DM13" s="114">
        <v>2.4300000000000002</v>
      </c>
      <c r="DN13" s="130"/>
      <c r="DO13" s="130"/>
      <c r="DP13" s="132"/>
      <c r="DQ13" s="131">
        <f t="shared" si="48"/>
        <v>0</v>
      </c>
      <c r="DR13" s="131"/>
      <c r="DS13" s="134"/>
      <c r="DT13" s="135"/>
      <c r="DU13" s="26"/>
    </row>
    <row r="14" spans="1:125" ht="12.75" customHeight="1">
      <c r="A14" s="82" t="s">
        <v>160</v>
      </c>
      <c r="B14" s="136" t="s">
        <v>161</v>
      </c>
      <c r="C14" s="114">
        <v>4.3499999999999996</v>
      </c>
      <c r="D14" s="137">
        <v>45259</v>
      </c>
      <c r="E14" s="130">
        <f>D14-42278</f>
        <v>2981</v>
      </c>
      <c r="F14" s="125">
        <f t="shared" si="0"/>
        <v>12967.349999999999</v>
      </c>
      <c r="G14" s="114">
        <v>2.27</v>
      </c>
      <c r="H14" s="137">
        <v>22346</v>
      </c>
      <c r="I14" s="130">
        <f>H14-20724</f>
        <v>1622</v>
      </c>
      <c r="J14" s="125">
        <f t="shared" si="1"/>
        <v>3681.94</v>
      </c>
      <c r="K14" s="126">
        <f t="shared" si="51"/>
        <v>16649.289999999997</v>
      </c>
      <c r="L14" s="127">
        <v>16649</v>
      </c>
      <c r="M14" s="114">
        <v>4.3499999999999996</v>
      </c>
      <c r="N14" s="139">
        <v>46631</v>
      </c>
      <c r="O14" s="129">
        <f t="shared" si="2"/>
        <v>1372</v>
      </c>
      <c r="P14" s="125">
        <f t="shared" si="3"/>
        <v>5968.2</v>
      </c>
      <c r="Q14" s="114">
        <v>2.27</v>
      </c>
      <c r="R14" s="140">
        <v>23166</v>
      </c>
      <c r="S14" s="129">
        <f t="shared" si="4"/>
        <v>820</v>
      </c>
      <c r="T14" s="125">
        <f t="shared" si="5"/>
        <v>1861.4</v>
      </c>
      <c r="U14" s="126">
        <f t="shared" si="6"/>
        <v>7829.6</v>
      </c>
      <c r="V14" s="127">
        <v>7830</v>
      </c>
      <c r="W14" s="114">
        <v>4.3499999999999996</v>
      </c>
      <c r="X14" s="123">
        <v>47962</v>
      </c>
      <c r="Y14" s="130">
        <f t="shared" si="7"/>
        <v>1331</v>
      </c>
      <c r="Z14" s="125">
        <f t="shared" si="8"/>
        <v>5789.8499999999995</v>
      </c>
      <c r="AA14" s="114">
        <v>2.27</v>
      </c>
      <c r="AB14" s="123">
        <v>23926</v>
      </c>
      <c r="AC14" s="130">
        <f t="shared" si="9"/>
        <v>760</v>
      </c>
      <c r="AD14" s="125">
        <f t="shared" si="10"/>
        <v>1725.2</v>
      </c>
      <c r="AE14" s="126">
        <f t="shared" si="11"/>
        <v>7515.0499999999993</v>
      </c>
      <c r="AF14" s="127">
        <v>7515</v>
      </c>
      <c r="AG14" s="114">
        <v>4.3499999999999996</v>
      </c>
      <c r="AH14" s="123">
        <v>49318</v>
      </c>
      <c r="AI14" s="129">
        <f t="shared" si="12"/>
        <v>1356</v>
      </c>
      <c r="AJ14" s="125">
        <f t="shared" si="52"/>
        <v>5898.5999999999995</v>
      </c>
      <c r="AK14" s="114">
        <v>2.27</v>
      </c>
      <c r="AL14" s="123">
        <v>24638</v>
      </c>
      <c r="AM14" s="129">
        <f t="shared" si="13"/>
        <v>712</v>
      </c>
      <c r="AN14" s="125">
        <f t="shared" si="53"/>
        <v>1616.24</v>
      </c>
      <c r="AO14" s="131">
        <f t="shared" si="14"/>
        <v>7514.8399999999992</v>
      </c>
      <c r="AP14" s="127">
        <v>7515</v>
      </c>
      <c r="AQ14" s="114">
        <v>4.3499999999999996</v>
      </c>
      <c r="AR14" s="123">
        <v>50393</v>
      </c>
      <c r="AS14" s="130">
        <f t="shared" si="15"/>
        <v>1075</v>
      </c>
      <c r="AT14" s="125">
        <f t="shared" si="16"/>
        <v>4676.25</v>
      </c>
      <c r="AU14" s="114">
        <v>2.27</v>
      </c>
      <c r="AV14" s="123">
        <v>25161</v>
      </c>
      <c r="AW14" s="130">
        <f t="shared" si="17"/>
        <v>523</v>
      </c>
      <c r="AX14" s="125">
        <f t="shared" si="18"/>
        <v>1187.21</v>
      </c>
      <c r="AY14" s="131">
        <f t="shared" si="19"/>
        <v>5863.46</v>
      </c>
      <c r="AZ14" s="127">
        <v>5863</v>
      </c>
      <c r="BA14" s="114">
        <v>4.3499999999999996</v>
      </c>
      <c r="BB14" s="123">
        <v>51138</v>
      </c>
      <c r="BC14" s="130">
        <f t="shared" si="20"/>
        <v>745</v>
      </c>
      <c r="BD14" s="125">
        <f t="shared" si="21"/>
        <v>3240.7499999999995</v>
      </c>
      <c r="BE14" s="114">
        <v>2.27</v>
      </c>
      <c r="BF14" s="123">
        <v>25437</v>
      </c>
      <c r="BG14" s="130">
        <f t="shared" si="22"/>
        <v>276</v>
      </c>
      <c r="BH14" s="125">
        <f t="shared" si="23"/>
        <v>626.52</v>
      </c>
      <c r="BI14" s="131">
        <f t="shared" si="24"/>
        <v>3867.2699999999995</v>
      </c>
      <c r="BJ14" s="127">
        <v>3867</v>
      </c>
      <c r="BK14" s="114">
        <v>4.49</v>
      </c>
      <c r="BL14" s="123">
        <v>51886</v>
      </c>
      <c r="BM14" s="130">
        <f t="shared" si="25"/>
        <v>748</v>
      </c>
      <c r="BN14" s="125">
        <f t="shared" si="26"/>
        <v>3358.52</v>
      </c>
      <c r="BO14" s="114">
        <v>2.4300000000000002</v>
      </c>
      <c r="BP14" s="123">
        <v>25732</v>
      </c>
      <c r="BQ14" s="130">
        <f t="shared" si="27"/>
        <v>295</v>
      </c>
      <c r="BR14" s="125">
        <f t="shared" si="28"/>
        <v>716.85</v>
      </c>
      <c r="BS14" s="131">
        <f t="shared" si="29"/>
        <v>4075.37</v>
      </c>
      <c r="BT14" s="127">
        <v>4075</v>
      </c>
      <c r="BU14" s="114">
        <v>4.49</v>
      </c>
      <c r="BV14" s="123">
        <v>52818</v>
      </c>
      <c r="BW14" s="130">
        <f t="shared" si="30"/>
        <v>932</v>
      </c>
      <c r="BX14" s="125">
        <f t="shared" si="31"/>
        <v>4184.68</v>
      </c>
      <c r="BY14" s="114">
        <v>2.4300000000000002</v>
      </c>
      <c r="BZ14" s="123">
        <v>26164</v>
      </c>
      <c r="CA14" s="130">
        <f t="shared" si="32"/>
        <v>432</v>
      </c>
      <c r="CB14" s="125">
        <f t="shared" si="33"/>
        <v>1049.76</v>
      </c>
      <c r="CC14" s="131">
        <f t="shared" si="34"/>
        <v>5234.4400000000005</v>
      </c>
      <c r="CD14" s="127">
        <v>5234</v>
      </c>
      <c r="CE14" s="114">
        <v>4.49</v>
      </c>
      <c r="CF14" s="123">
        <v>53536</v>
      </c>
      <c r="CG14" s="129">
        <f t="shared" si="35"/>
        <v>718</v>
      </c>
      <c r="CH14" s="125">
        <f t="shared" si="49"/>
        <v>3223.82</v>
      </c>
      <c r="CI14" s="114">
        <v>2.4300000000000002</v>
      </c>
      <c r="CJ14" s="123">
        <v>26470</v>
      </c>
      <c r="CK14" s="129">
        <f t="shared" si="36"/>
        <v>306</v>
      </c>
      <c r="CL14" s="125">
        <f t="shared" si="37"/>
        <v>743.58</v>
      </c>
      <c r="CM14" s="127">
        <f t="shared" si="38"/>
        <v>3967.4</v>
      </c>
      <c r="CN14" s="127">
        <v>3967</v>
      </c>
      <c r="CO14" s="114">
        <v>4.49</v>
      </c>
      <c r="CP14" s="123">
        <v>54058</v>
      </c>
      <c r="CQ14" s="130">
        <f t="shared" si="39"/>
        <v>522</v>
      </c>
      <c r="CR14" s="125">
        <f t="shared" si="40"/>
        <v>2343.7800000000002</v>
      </c>
      <c r="CS14" s="114">
        <v>2.4300000000000002</v>
      </c>
      <c r="CT14" s="123">
        <v>26694</v>
      </c>
      <c r="CU14" s="130">
        <f t="shared" si="41"/>
        <v>224</v>
      </c>
      <c r="CV14" s="125">
        <f t="shared" si="50"/>
        <v>544.32000000000005</v>
      </c>
      <c r="CW14" s="131">
        <f t="shared" si="42"/>
        <v>2888.1000000000004</v>
      </c>
      <c r="CX14" s="127">
        <v>2888</v>
      </c>
      <c r="CY14" s="114">
        <v>4.49</v>
      </c>
      <c r="CZ14" s="123">
        <v>55385</v>
      </c>
      <c r="DA14" s="130">
        <f t="shared" si="43"/>
        <v>1327</v>
      </c>
      <c r="DB14" s="132">
        <f t="shared" si="44"/>
        <v>5958.2300000000005</v>
      </c>
      <c r="DC14" s="114">
        <v>2.4300000000000002</v>
      </c>
      <c r="DD14" s="123">
        <v>27487</v>
      </c>
      <c r="DE14" s="130">
        <f t="shared" si="45"/>
        <v>793</v>
      </c>
      <c r="DF14" s="132">
        <f t="shared" si="46"/>
        <v>1926.9900000000002</v>
      </c>
      <c r="DG14" s="133">
        <f t="shared" si="47"/>
        <v>7885.2200000000012</v>
      </c>
      <c r="DH14" s="131"/>
      <c r="DI14" s="114">
        <v>4.49</v>
      </c>
      <c r="DJ14" s="130"/>
      <c r="DK14" s="130"/>
      <c r="DL14" s="132"/>
      <c r="DM14" s="114">
        <v>2.4300000000000002</v>
      </c>
      <c r="DN14" s="130"/>
      <c r="DO14" s="130"/>
      <c r="DP14" s="132"/>
      <c r="DQ14" s="131">
        <f t="shared" si="48"/>
        <v>0</v>
      </c>
      <c r="DR14" s="131"/>
      <c r="DS14" s="134"/>
      <c r="DT14" s="135"/>
      <c r="DU14" s="26"/>
    </row>
    <row r="15" spans="1:125" ht="12.75" customHeight="1">
      <c r="A15" s="82" t="s">
        <v>162</v>
      </c>
      <c r="B15" s="136" t="s">
        <v>163</v>
      </c>
      <c r="C15" s="114">
        <v>4.3499999999999996</v>
      </c>
      <c r="D15" s="137">
        <v>57454</v>
      </c>
      <c r="E15" s="130">
        <f>D15-56684</f>
        <v>770</v>
      </c>
      <c r="F15" s="125">
        <f t="shared" si="0"/>
        <v>3349.4999999999995</v>
      </c>
      <c r="G15" s="114">
        <v>2.27</v>
      </c>
      <c r="H15" s="137">
        <v>27897</v>
      </c>
      <c r="I15" s="130">
        <f>H15-27589</f>
        <v>308</v>
      </c>
      <c r="J15" s="125">
        <f t="shared" si="1"/>
        <v>699.16</v>
      </c>
      <c r="K15" s="126">
        <f t="shared" si="51"/>
        <v>4048.6599999999994</v>
      </c>
      <c r="L15" s="127">
        <v>4049</v>
      </c>
      <c r="M15" s="114">
        <v>4.3499999999999996</v>
      </c>
      <c r="N15" s="139">
        <v>58281</v>
      </c>
      <c r="O15" s="129">
        <f t="shared" si="2"/>
        <v>827</v>
      </c>
      <c r="P15" s="125">
        <f t="shared" si="3"/>
        <v>3597.45</v>
      </c>
      <c r="Q15" s="114">
        <v>2.27</v>
      </c>
      <c r="R15" s="140">
        <v>28262</v>
      </c>
      <c r="S15" s="129">
        <f t="shared" si="4"/>
        <v>365</v>
      </c>
      <c r="T15" s="125">
        <f t="shared" si="5"/>
        <v>828.55</v>
      </c>
      <c r="U15" s="126">
        <f t="shared" si="6"/>
        <v>4426</v>
      </c>
      <c r="V15" s="127">
        <v>4426</v>
      </c>
      <c r="W15" s="114">
        <v>4.3499999999999996</v>
      </c>
      <c r="X15" s="123">
        <v>59323</v>
      </c>
      <c r="Y15" s="130">
        <f t="shared" si="7"/>
        <v>1042</v>
      </c>
      <c r="Z15" s="125">
        <f t="shared" si="8"/>
        <v>4532.7</v>
      </c>
      <c r="AA15" s="114">
        <v>2.27</v>
      </c>
      <c r="AB15" s="123">
        <v>28744</v>
      </c>
      <c r="AC15" s="130">
        <f t="shared" si="9"/>
        <v>482</v>
      </c>
      <c r="AD15" s="125">
        <f t="shared" si="10"/>
        <v>1094.1400000000001</v>
      </c>
      <c r="AE15" s="126">
        <f t="shared" si="11"/>
        <v>5626.84</v>
      </c>
      <c r="AF15" s="127">
        <v>5627</v>
      </c>
      <c r="AG15" s="114">
        <v>4.3499999999999996</v>
      </c>
      <c r="AH15" s="123">
        <v>60183</v>
      </c>
      <c r="AI15" s="129">
        <f t="shared" si="12"/>
        <v>860</v>
      </c>
      <c r="AJ15" s="125">
        <f t="shared" si="52"/>
        <v>3740.9999999999995</v>
      </c>
      <c r="AK15" s="114">
        <v>2.27</v>
      </c>
      <c r="AL15" s="123">
        <v>29143</v>
      </c>
      <c r="AM15" s="129">
        <f t="shared" si="13"/>
        <v>399</v>
      </c>
      <c r="AN15" s="125">
        <f t="shared" si="53"/>
        <v>905.73</v>
      </c>
      <c r="AO15" s="131">
        <f t="shared" si="14"/>
        <v>4646.7299999999996</v>
      </c>
      <c r="AP15" s="127">
        <v>4647</v>
      </c>
      <c r="AQ15" s="114">
        <v>4.3499999999999996</v>
      </c>
      <c r="AR15" s="123">
        <v>61321</v>
      </c>
      <c r="AS15" s="130">
        <f t="shared" si="15"/>
        <v>1138</v>
      </c>
      <c r="AT15" s="125">
        <f t="shared" si="16"/>
        <v>4950.2999999999993</v>
      </c>
      <c r="AU15" s="114">
        <v>2.27</v>
      </c>
      <c r="AV15" s="123">
        <v>29679</v>
      </c>
      <c r="AW15" s="130">
        <f t="shared" si="17"/>
        <v>536</v>
      </c>
      <c r="AX15" s="125">
        <f t="shared" si="18"/>
        <v>1216.72</v>
      </c>
      <c r="AY15" s="131">
        <f t="shared" si="19"/>
        <v>6167.0199999999995</v>
      </c>
      <c r="AZ15" s="127">
        <v>6167</v>
      </c>
      <c r="BA15" s="114">
        <v>4.3499999999999996</v>
      </c>
      <c r="BB15" s="123">
        <v>62035</v>
      </c>
      <c r="BC15" s="130">
        <f t="shared" si="20"/>
        <v>714</v>
      </c>
      <c r="BD15" s="125">
        <f t="shared" si="21"/>
        <v>3105.8999999999996</v>
      </c>
      <c r="BE15" s="114">
        <v>2.27</v>
      </c>
      <c r="BF15" s="123">
        <v>29938</v>
      </c>
      <c r="BG15" s="130">
        <f t="shared" si="22"/>
        <v>259</v>
      </c>
      <c r="BH15" s="125">
        <f t="shared" si="23"/>
        <v>587.92999999999995</v>
      </c>
      <c r="BI15" s="131">
        <f t="shared" si="24"/>
        <v>3693.8299999999995</v>
      </c>
      <c r="BJ15" s="127">
        <v>3694</v>
      </c>
      <c r="BK15" s="114">
        <v>4.49</v>
      </c>
      <c r="BL15" s="123">
        <v>62891</v>
      </c>
      <c r="BM15" s="130">
        <f t="shared" si="25"/>
        <v>856</v>
      </c>
      <c r="BN15" s="125">
        <f t="shared" si="26"/>
        <v>3843.44</v>
      </c>
      <c r="BO15" s="114">
        <v>2.4300000000000002</v>
      </c>
      <c r="BP15" s="123">
        <v>30303</v>
      </c>
      <c r="BQ15" s="130">
        <f t="shared" si="27"/>
        <v>365</v>
      </c>
      <c r="BR15" s="125">
        <f t="shared" si="28"/>
        <v>886.95</v>
      </c>
      <c r="BS15" s="131">
        <f t="shared" si="29"/>
        <v>4730.3900000000003</v>
      </c>
      <c r="BT15" s="127">
        <v>4730</v>
      </c>
      <c r="BU15" s="114">
        <v>4.49</v>
      </c>
      <c r="BV15" s="123">
        <v>63724</v>
      </c>
      <c r="BW15" s="130">
        <f t="shared" si="30"/>
        <v>833</v>
      </c>
      <c r="BX15" s="125">
        <f t="shared" si="31"/>
        <v>3740.17</v>
      </c>
      <c r="BY15" s="114">
        <v>2.4300000000000002</v>
      </c>
      <c r="BZ15" s="123">
        <v>30660</v>
      </c>
      <c r="CA15" s="130">
        <f t="shared" si="32"/>
        <v>357</v>
      </c>
      <c r="CB15" s="125">
        <f t="shared" si="33"/>
        <v>867.5100000000001</v>
      </c>
      <c r="CC15" s="131">
        <f t="shared" si="34"/>
        <v>4607.68</v>
      </c>
      <c r="CD15" s="127">
        <v>4608</v>
      </c>
      <c r="CE15" s="114">
        <v>4.49</v>
      </c>
      <c r="CF15" s="123">
        <v>64765</v>
      </c>
      <c r="CG15" s="129">
        <f t="shared" si="35"/>
        <v>1041</v>
      </c>
      <c r="CH15" s="125">
        <f t="shared" si="49"/>
        <v>4674.09</v>
      </c>
      <c r="CI15" s="114">
        <v>2.4300000000000002</v>
      </c>
      <c r="CJ15" s="123">
        <v>31107</v>
      </c>
      <c r="CK15" s="129">
        <f t="shared" si="36"/>
        <v>447</v>
      </c>
      <c r="CL15" s="125">
        <f t="shared" si="37"/>
        <v>1086.21</v>
      </c>
      <c r="CM15" s="127">
        <f t="shared" si="38"/>
        <v>5760.3</v>
      </c>
      <c r="CN15" s="127">
        <v>5760</v>
      </c>
      <c r="CO15" s="114">
        <v>4.49</v>
      </c>
      <c r="CP15" s="123">
        <v>64765</v>
      </c>
      <c r="CQ15" s="130">
        <f t="shared" si="39"/>
        <v>0</v>
      </c>
      <c r="CR15" s="125">
        <f t="shared" si="40"/>
        <v>0</v>
      </c>
      <c r="CS15" s="114">
        <v>2.4300000000000002</v>
      </c>
      <c r="CT15" s="123">
        <v>31107</v>
      </c>
      <c r="CU15" s="130">
        <f t="shared" si="41"/>
        <v>0</v>
      </c>
      <c r="CV15" s="125">
        <f t="shared" si="50"/>
        <v>0</v>
      </c>
      <c r="CW15" s="131">
        <f t="shared" si="42"/>
        <v>0</v>
      </c>
      <c r="CX15" s="127">
        <v>0</v>
      </c>
      <c r="CY15" s="114">
        <v>4.49</v>
      </c>
      <c r="CZ15" s="123">
        <v>66020</v>
      </c>
      <c r="DA15" s="130">
        <f t="shared" si="43"/>
        <v>1255</v>
      </c>
      <c r="DB15" s="132">
        <f t="shared" si="44"/>
        <v>5634.95</v>
      </c>
      <c r="DC15" s="114">
        <v>2.4300000000000002</v>
      </c>
      <c r="DD15" s="123">
        <v>31632</v>
      </c>
      <c r="DE15" s="130">
        <f t="shared" si="45"/>
        <v>525</v>
      </c>
      <c r="DF15" s="132">
        <f t="shared" si="46"/>
        <v>1275.75</v>
      </c>
      <c r="DG15" s="133">
        <f t="shared" si="47"/>
        <v>6910.7</v>
      </c>
      <c r="DH15" s="187">
        <v>4265</v>
      </c>
      <c r="DI15" s="114">
        <v>4.49</v>
      </c>
      <c r="DJ15" s="130"/>
      <c r="DK15" s="130"/>
      <c r="DL15" s="132"/>
      <c r="DM15" s="114">
        <v>2.4300000000000002</v>
      </c>
      <c r="DN15" s="130"/>
      <c r="DO15" s="130"/>
      <c r="DP15" s="132"/>
      <c r="DQ15" s="131">
        <f t="shared" si="48"/>
        <v>0</v>
      </c>
      <c r="DR15" s="127"/>
      <c r="DS15" s="134"/>
      <c r="DT15" s="135"/>
      <c r="DU15" s="26"/>
    </row>
    <row r="16" spans="1:125" ht="12.75" customHeight="1">
      <c r="A16" s="82" t="s">
        <v>165</v>
      </c>
      <c r="B16" s="136" t="s">
        <v>166</v>
      </c>
      <c r="C16" s="114">
        <v>4.3499999999999996</v>
      </c>
      <c r="D16" s="137">
        <v>50334</v>
      </c>
      <c r="E16" s="130">
        <f>D16-48108</f>
        <v>2226</v>
      </c>
      <c r="F16" s="125">
        <f t="shared" si="0"/>
        <v>9683.0999999999985</v>
      </c>
      <c r="G16" s="114">
        <v>2.27</v>
      </c>
      <c r="H16" s="137">
        <v>21995</v>
      </c>
      <c r="I16" s="130">
        <f>H16-21022</f>
        <v>973</v>
      </c>
      <c r="J16" s="125">
        <f t="shared" si="1"/>
        <v>2208.71</v>
      </c>
      <c r="K16" s="126">
        <f t="shared" si="51"/>
        <v>11891.809999999998</v>
      </c>
      <c r="L16" s="127">
        <v>11892</v>
      </c>
      <c r="M16" s="114">
        <v>4.3499999999999996</v>
      </c>
      <c r="N16" s="139">
        <v>51717</v>
      </c>
      <c r="O16" s="129">
        <f t="shared" si="2"/>
        <v>1383</v>
      </c>
      <c r="P16" s="125">
        <f t="shared" si="3"/>
        <v>6016.0499999999993</v>
      </c>
      <c r="Q16" s="114">
        <v>2.27</v>
      </c>
      <c r="R16" s="140">
        <v>22597</v>
      </c>
      <c r="S16" s="129">
        <f t="shared" si="4"/>
        <v>602</v>
      </c>
      <c r="T16" s="125">
        <f t="shared" si="5"/>
        <v>1366.54</v>
      </c>
      <c r="U16" s="126">
        <f t="shared" si="6"/>
        <v>7382.5899999999992</v>
      </c>
      <c r="V16" s="127">
        <v>7383</v>
      </c>
      <c r="W16" s="114">
        <v>4.3499999999999996</v>
      </c>
      <c r="X16" s="123">
        <v>53306</v>
      </c>
      <c r="Y16" s="130">
        <f t="shared" si="7"/>
        <v>1589</v>
      </c>
      <c r="Z16" s="125">
        <f t="shared" si="8"/>
        <v>6912.15</v>
      </c>
      <c r="AA16" s="114">
        <v>2.27</v>
      </c>
      <c r="AB16" s="123">
        <v>23312</v>
      </c>
      <c r="AC16" s="130">
        <f t="shared" si="9"/>
        <v>715</v>
      </c>
      <c r="AD16" s="125">
        <f t="shared" si="10"/>
        <v>1623.05</v>
      </c>
      <c r="AE16" s="126">
        <f t="shared" si="11"/>
        <v>8535.1999999999989</v>
      </c>
      <c r="AF16" s="127">
        <v>8535</v>
      </c>
      <c r="AG16" s="114">
        <v>4.3499999999999996</v>
      </c>
      <c r="AH16" s="123">
        <v>54155</v>
      </c>
      <c r="AI16" s="129">
        <f t="shared" si="12"/>
        <v>849</v>
      </c>
      <c r="AJ16" s="125">
        <f t="shared" si="52"/>
        <v>3693.1499999999996</v>
      </c>
      <c r="AK16" s="114">
        <v>2.27</v>
      </c>
      <c r="AL16" s="123">
        <v>23638</v>
      </c>
      <c r="AM16" s="129">
        <f t="shared" si="13"/>
        <v>326</v>
      </c>
      <c r="AN16" s="125">
        <f t="shared" si="53"/>
        <v>740.02</v>
      </c>
      <c r="AO16" s="131">
        <f t="shared" si="14"/>
        <v>4433.17</v>
      </c>
      <c r="AP16" s="127">
        <v>4433</v>
      </c>
      <c r="AQ16" s="114">
        <v>4.3499999999999996</v>
      </c>
      <c r="AR16" s="123">
        <v>54753</v>
      </c>
      <c r="AS16" s="130">
        <f t="shared" si="15"/>
        <v>598</v>
      </c>
      <c r="AT16" s="125">
        <f t="shared" si="16"/>
        <v>2601.2999999999997</v>
      </c>
      <c r="AU16" s="114">
        <v>2.27</v>
      </c>
      <c r="AV16" s="123">
        <v>23941</v>
      </c>
      <c r="AW16" s="130">
        <f t="shared" si="17"/>
        <v>303</v>
      </c>
      <c r="AX16" s="125">
        <f t="shared" si="18"/>
        <v>687.81000000000006</v>
      </c>
      <c r="AY16" s="131">
        <f t="shared" si="19"/>
        <v>3289.1099999999997</v>
      </c>
      <c r="AZ16" s="127">
        <v>3289</v>
      </c>
      <c r="BA16" s="114">
        <v>4.3499999999999996</v>
      </c>
      <c r="BB16" s="123">
        <v>55315</v>
      </c>
      <c r="BC16" s="130">
        <f t="shared" si="20"/>
        <v>562</v>
      </c>
      <c r="BD16" s="125">
        <f t="shared" si="21"/>
        <v>2444.6999999999998</v>
      </c>
      <c r="BE16" s="114">
        <v>2.27</v>
      </c>
      <c r="BF16" s="123">
        <v>24092</v>
      </c>
      <c r="BG16" s="130">
        <f t="shared" si="22"/>
        <v>151</v>
      </c>
      <c r="BH16" s="125">
        <f t="shared" si="23"/>
        <v>342.77</v>
      </c>
      <c r="BI16" s="131">
        <f t="shared" si="24"/>
        <v>2787.47</v>
      </c>
      <c r="BJ16" s="127">
        <v>2787</v>
      </c>
      <c r="BK16" s="114">
        <v>4.49</v>
      </c>
      <c r="BL16" s="123">
        <v>55900</v>
      </c>
      <c r="BM16" s="130">
        <f t="shared" si="25"/>
        <v>585</v>
      </c>
      <c r="BN16" s="125">
        <f t="shared" si="26"/>
        <v>2626.65</v>
      </c>
      <c r="BO16" s="114">
        <v>2.4300000000000002</v>
      </c>
      <c r="BP16" s="123">
        <v>24249</v>
      </c>
      <c r="BQ16" s="130">
        <f t="shared" si="27"/>
        <v>157</v>
      </c>
      <c r="BR16" s="125">
        <f t="shared" si="28"/>
        <v>381.51000000000005</v>
      </c>
      <c r="BS16" s="131">
        <f t="shared" si="29"/>
        <v>3008.1600000000003</v>
      </c>
      <c r="BT16" s="127">
        <v>3008</v>
      </c>
      <c r="BU16" s="114">
        <v>4.49</v>
      </c>
      <c r="BV16" s="123">
        <v>56613</v>
      </c>
      <c r="BW16" s="130">
        <f t="shared" si="30"/>
        <v>713</v>
      </c>
      <c r="BX16" s="125">
        <f t="shared" si="31"/>
        <v>3201.3700000000003</v>
      </c>
      <c r="BY16" s="114">
        <v>2.4300000000000002</v>
      </c>
      <c r="BZ16" s="123">
        <v>24422</v>
      </c>
      <c r="CA16" s="130">
        <f t="shared" si="32"/>
        <v>173</v>
      </c>
      <c r="CB16" s="125">
        <f t="shared" si="33"/>
        <v>420.39000000000004</v>
      </c>
      <c r="CC16" s="131">
        <f t="shared" si="34"/>
        <v>3621.76</v>
      </c>
      <c r="CD16" s="127">
        <v>3622</v>
      </c>
      <c r="CE16" s="114">
        <v>4.49</v>
      </c>
      <c r="CF16" s="123">
        <v>57012</v>
      </c>
      <c r="CG16" s="129">
        <f t="shared" si="35"/>
        <v>399</v>
      </c>
      <c r="CH16" s="125">
        <f t="shared" si="49"/>
        <v>1791.51</v>
      </c>
      <c r="CI16" s="114">
        <v>2.4300000000000002</v>
      </c>
      <c r="CJ16" s="123">
        <v>24583</v>
      </c>
      <c r="CK16" s="129">
        <f t="shared" si="36"/>
        <v>161</v>
      </c>
      <c r="CL16" s="125">
        <f t="shared" si="37"/>
        <v>391.23</v>
      </c>
      <c r="CM16" s="127">
        <f t="shared" si="38"/>
        <v>2182.7399999999998</v>
      </c>
      <c r="CN16" s="127">
        <v>2183</v>
      </c>
      <c r="CO16" s="114">
        <v>4.49</v>
      </c>
      <c r="CP16" s="123">
        <v>57565</v>
      </c>
      <c r="CQ16" s="130">
        <f t="shared" si="39"/>
        <v>553</v>
      </c>
      <c r="CR16" s="125">
        <f t="shared" si="40"/>
        <v>2482.9700000000003</v>
      </c>
      <c r="CS16" s="114">
        <v>2.4300000000000002</v>
      </c>
      <c r="CT16" s="123">
        <v>24860</v>
      </c>
      <c r="CU16" s="130">
        <f t="shared" si="41"/>
        <v>277</v>
      </c>
      <c r="CV16" s="125">
        <f t="shared" si="50"/>
        <v>673.11</v>
      </c>
      <c r="CW16" s="131">
        <f t="shared" si="42"/>
        <v>3156.0800000000004</v>
      </c>
      <c r="CX16" s="127">
        <v>3156</v>
      </c>
      <c r="CY16" s="114">
        <v>4.49</v>
      </c>
      <c r="CZ16" s="123">
        <v>58020</v>
      </c>
      <c r="DA16" s="130">
        <f t="shared" si="43"/>
        <v>455</v>
      </c>
      <c r="DB16" s="132">
        <f t="shared" si="44"/>
        <v>2042.95</v>
      </c>
      <c r="DC16" s="114">
        <v>2.4300000000000002</v>
      </c>
      <c r="DD16" s="123">
        <v>25086</v>
      </c>
      <c r="DE16" s="130">
        <f t="shared" si="45"/>
        <v>226</v>
      </c>
      <c r="DF16" s="132">
        <f t="shared" si="46"/>
        <v>549.18000000000006</v>
      </c>
      <c r="DG16" s="133">
        <f t="shared" si="47"/>
        <v>2592.13</v>
      </c>
      <c r="DH16" s="131"/>
      <c r="DI16" s="114">
        <v>4.49</v>
      </c>
      <c r="DJ16" s="130"/>
      <c r="DK16" s="130"/>
      <c r="DL16" s="132"/>
      <c r="DM16" s="114">
        <v>2.4300000000000002</v>
      </c>
      <c r="DN16" s="130"/>
      <c r="DO16" s="130"/>
      <c r="DP16" s="132"/>
      <c r="DQ16" s="131">
        <f t="shared" si="48"/>
        <v>0</v>
      </c>
      <c r="DR16" s="131"/>
      <c r="DS16" s="134"/>
      <c r="DT16" s="135"/>
      <c r="DU16" s="26"/>
    </row>
    <row r="17" spans="1:125" ht="12.75" customHeight="1">
      <c r="A17" s="82" t="s">
        <v>167</v>
      </c>
      <c r="B17" s="136" t="s">
        <v>168</v>
      </c>
      <c r="C17" s="114">
        <v>4.3499999999999996</v>
      </c>
      <c r="D17" s="137">
        <v>56445</v>
      </c>
      <c r="E17" s="130">
        <f>D17-55489</f>
        <v>956</v>
      </c>
      <c r="F17" s="125">
        <f t="shared" si="0"/>
        <v>4158.5999999999995</v>
      </c>
      <c r="G17" s="114">
        <v>2.27</v>
      </c>
      <c r="H17" s="137">
        <v>23672</v>
      </c>
      <c r="I17" s="130">
        <f>H17-23363</f>
        <v>309</v>
      </c>
      <c r="J17" s="125">
        <f t="shared" si="1"/>
        <v>701.43</v>
      </c>
      <c r="K17" s="126">
        <f t="shared" si="51"/>
        <v>4860.03</v>
      </c>
      <c r="L17" s="127">
        <v>4860</v>
      </c>
      <c r="M17" s="114">
        <v>4.3499999999999996</v>
      </c>
      <c r="N17" s="139">
        <v>57183</v>
      </c>
      <c r="O17" s="129">
        <f t="shared" si="2"/>
        <v>738</v>
      </c>
      <c r="P17" s="125">
        <f t="shared" si="3"/>
        <v>3210.2999999999997</v>
      </c>
      <c r="Q17" s="114">
        <v>2.27</v>
      </c>
      <c r="R17" s="140">
        <v>23942</v>
      </c>
      <c r="S17" s="129">
        <f t="shared" si="4"/>
        <v>270</v>
      </c>
      <c r="T17" s="125">
        <f t="shared" si="5"/>
        <v>612.9</v>
      </c>
      <c r="U17" s="126">
        <f t="shared" si="6"/>
        <v>3823.2</v>
      </c>
      <c r="V17" s="127">
        <v>3823</v>
      </c>
      <c r="W17" s="114">
        <v>4.3499999999999996</v>
      </c>
      <c r="X17" s="123">
        <v>57866</v>
      </c>
      <c r="Y17" s="130">
        <f t="shared" si="7"/>
        <v>683</v>
      </c>
      <c r="Z17" s="125">
        <f t="shared" si="8"/>
        <v>2971.0499999999997</v>
      </c>
      <c r="AA17" s="114">
        <v>2.27</v>
      </c>
      <c r="AB17" s="123">
        <v>24158</v>
      </c>
      <c r="AC17" s="130">
        <f t="shared" si="9"/>
        <v>216</v>
      </c>
      <c r="AD17" s="125">
        <f t="shared" si="10"/>
        <v>490.32</v>
      </c>
      <c r="AE17" s="126">
        <f t="shared" si="11"/>
        <v>3461.37</v>
      </c>
      <c r="AF17" s="127">
        <v>3461</v>
      </c>
      <c r="AG17" s="114">
        <v>4.3499999999999996</v>
      </c>
      <c r="AH17" s="123">
        <v>59751</v>
      </c>
      <c r="AI17" s="129">
        <f t="shared" si="12"/>
        <v>1885</v>
      </c>
      <c r="AJ17" s="125">
        <f t="shared" si="52"/>
        <v>8199.75</v>
      </c>
      <c r="AK17" s="114">
        <v>2.27</v>
      </c>
      <c r="AL17" s="123">
        <v>24961</v>
      </c>
      <c r="AM17" s="129">
        <f t="shared" si="13"/>
        <v>803</v>
      </c>
      <c r="AN17" s="125">
        <f t="shared" si="53"/>
        <v>1822.81</v>
      </c>
      <c r="AO17" s="131">
        <f t="shared" si="14"/>
        <v>10022.56</v>
      </c>
      <c r="AP17" s="127">
        <v>10023</v>
      </c>
      <c r="AQ17" s="114">
        <v>4.3499999999999996</v>
      </c>
      <c r="AR17" s="123">
        <v>61255</v>
      </c>
      <c r="AS17" s="130">
        <f t="shared" si="15"/>
        <v>1504</v>
      </c>
      <c r="AT17" s="125">
        <f t="shared" si="16"/>
        <v>6542.4</v>
      </c>
      <c r="AU17" s="114">
        <v>2.27</v>
      </c>
      <c r="AV17" s="123">
        <v>25646</v>
      </c>
      <c r="AW17" s="130">
        <f t="shared" si="17"/>
        <v>685</v>
      </c>
      <c r="AX17" s="125">
        <f t="shared" si="18"/>
        <v>1554.95</v>
      </c>
      <c r="AY17" s="131">
        <f t="shared" si="19"/>
        <v>8097.3499999999995</v>
      </c>
      <c r="AZ17" s="127">
        <v>8097</v>
      </c>
      <c r="BA17" s="114">
        <v>4.3499999999999996</v>
      </c>
      <c r="BB17" s="123">
        <v>61762</v>
      </c>
      <c r="BC17" s="130">
        <f t="shared" si="20"/>
        <v>507</v>
      </c>
      <c r="BD17" s="125">
        <f t="shared" si="21"/>
        <v>2205.4499999999998</v>
      </c>
      <c r="BE17" s="114">
        <v>2.27</v>
      </c>
      <c r="BF17" s="123">
        <v>25838</v>
      </c>
      <c r="BG17" s="130">
        <f t="shared" si="22"/>
        <v>192</v>
      </c>
      <c r="BH17" s="125">
        <f t="shared" si="23"/>
        <v>435.84000000000003</v>
      </c>
      <c r="BI17" s="131">
        <f t="shared" si="24"/>
        <v>2641.29</v>
      </c>
      <c r="BJ17" s="127">
        <v>2641</v>
      </c>
      <c r="BK17" s="114">
        <v>4.49</v>
      </c>
      <c r="BL17" s="123">
        <v>62354</v>
      </c>
      <c r="BM17" s="130">
        <f t="shared" si="25"/>
        <v>592</v>
      </c>
      <c r="BN17" s="125">
        <f t="shared" si="26"/>
        <v>2658.08</v>
      </c>
      <c r="BO17" s="114">
        <v>2.4300000000000002</v>
      </c>
      <c r="BP17" s="123">
        <v>26087</v>
      </c>
      <c r="BQ17" s="130">
        <f t="shared" si="27"/>
        <v>249</v>
      </c>
      <c r="BR17" s="125">
        <f t="shared" si="28"/>
        <v>605.07000000000005</v>
      </c>
      <c r="BS17" s="131">
        <f t="shared" si="29"/>
        <v>3263.15</v>
      </c>
      <c r="BT17" s="127">
        <v>3263</v>
      </c>
      <c r="BU17" s="114">
        <v>4.49</v>
      </c>
      <c r="BV17" s="123">
        <v>62991</v>
      </c>
      <c r="BW17" s="130">
        <f t="shared" si="30"/>
        <v>637</v>
      </c>
      <c r="BX17" s="125">
        <f t="shared" si="31"/>
        <v>2860.13</v>
      </c>
      <c r="BY17" s="114">
        <v>2.4300000000000002</v>
      </c>
      <c r="BZ17" s="123">
        <v>26286</v>
      </c>
      <c r="CA17" s="130">
        <f t="shared" si="32"/>
        <v>199</v>
      </c>
      <c r="CB17" s="125">
        <f t="shared" si="33"/>
        <v>483.57000000000005</v>
      </c>
      <c r="CC17" s="131">
        <f t="shared" si="34"/>
        <v>3343.7000000000003</v>
      </c>
      <c r="CD17" s="127">
        <v>3344</v>
      </c>
      <c r="CE17" s="114">
        <v>4.49</v>
      </c>
      <c r="CF17" s="123">
        <v>63667</v>
      </c>
      <c r="CG17" s="129">
        <f t="shared" si="35"/>
        <v>676</v>
      </c>
      <c r="CH17" s="125">
        <f t="shared" si="49"/>
        <v>3035.2400000000002</v>
      </c>
      <c r="CI17" s="114">
        <v>2.4300000000000002</v>
      </c>
      <c r="CJ17" s="123">
        <v>26500</v>
      </c>
      <c r="CK17" s="129">
        <f t="shared" si="36"/>
        <v>214</v>
      </c>
      <c r="CL17" s="125">
        <f t="shared" si="37"/>
        <v>520.02</v>
      </c>
      <c r="CM17" s="127">
        <f t="shared" si="38"/>
        <v>3555.26</v>
      </c>
      <c r="CN17" s="127">
        <v>3555</v>
      </c>
      <c r="CO17" s="114">
        <v>4.49</v>
      </c>
      <c r="CP17" s="123">
        <v>64280</v>
      </c>
      <c r="CQ17" s="130">
        <f t="shared" si="39"/>
        <v>613</v>
      </c>
      <c r="CR17" s="125">
        <f t="shared" si="40"/>
        <v>2752.3700000000003</v>
      </c>
      <c r="CS17" s="114">
        <v>2.4300000000000002</v>
      </c>
      <c r="CT17" s="123">
        <v>26726</v>
      </c>
      <c r="CU17" s="130">
        <f t="shared" si="41"/>
        <v>226</v>
      </c>
      <c r="CV17" s="125">
        <f t="shared" si="50"/>
        <v>549.18000000000006</v>
      </c>
      <c r="CW17" s="131">
        <f t="shared" si="42"/>
        <v>3301.55</v>
      </c>
      <c r="CX17" s="127">
        <v>3302</v>
      </c>
      <c r="CY17" s="114">
        <v>4.49</v>
      </c>
      <c r="CZ17" s="123">
        <v>65241</v>
      </c>
      <c r="DA17" s="130">
        <f t="shared" si="43"/>
        <v>961</v>
      </c>
      <c r="DB17" s="132">
        <f t="shared" si="44"/>
        <v>4314.8900000000003</v>
      </c>
      <c r="DC17" s="114">
        <v>2.4300000000000002</v>
      </c>
      <c r="DD17" s="123">
        <v>27104</v>
      </c>
      <c r="DE17" s="130">
        <f t="shared" si="45"/>
        <v>378</v>
      </c>
      <c r="DF17" s="132">
        <f t="shared" si="46"/>
        <v>918.54000000000008</v>
      </c>
      <c r="DG17" s="133">
        <f t="shared" si="47"/>
        <v>5233.43</v>
      </c>
      <c r="DH17" s="127"/>
      <c r="DI17" s="114">
        <v>4.49</v>
      </c>
      <c r="DJ17" s="130"/>
      <c r="DK17" s="130"/>
      <c r="DL17" s="132"/>
      <c r="DM17" s="114">
        <v>2.4300000000000002</v>
      </c>
      <c r="DN17" s="130"/>
      <c r="DO17" s="130"/>
      <c r="DP17" s="132"/>
      <c r="DQ17" s="131">
        <f t="shared" si="48"/>
        <v>0</v>
      </c>
      <c r="DR17" s="131"/>
      <c r="DS17" s="134"/>
      <c r="DT17" s="135"/>
      <c r="DU17" s="26"/>
    </row>
    <row r="18" spans="1:125" ht="12.75" customHeight="1">
      <c r="A18" s="82" t="s">
        <v>169</v>
      </c>
      <c r="B18" s="136" t="s">
        <v>170</v>
      </c>
      <c r="C18" s="114">
        <v>4.3499999999999996</v>
      </c>
      <c r="D18" s="137">
        <v>27099</v>
      </c>
      <c r="E18" s="130">
        <f>D18-26654</f>
        <v>445</v>
      </c>
      <c r="F18" s="125">
        <f t="shared" si="0"/>
        <v>1935.7499999999998</v>
      </c>
      <c r="G18" s="114">
        <v>2.27</v>
      </c>
      <c r="H18" s="137">
        <v>0</v>
      </c>
      <c r="I18" s="130">
        <f>H18-0</f>
        <v>0</v>
      </c>
      <c r="J18" s="125">
        <f t="shared" si="1"/>
        <v>0</v>
      </c>
      <c r="K18" s="126">
        <f t="shared" si="51"/>
        <v>1935.7499999999998</v>
      </c>
      <c r="L18" s="127">
        <v>1936</v>
      </c>
      <c r="M18" s="114">
        <v>4.3499999999999996</v>
      </c>
      <c r="N18" s="139">
        <v>27534</v>
      </c>
      <c r="O18" s="129">
        <f t="shared" si="2"/>
        <v>435</v>
      </c>
      <c r="P18" s="125">
        <f t="shared" si="3"/>
        <v>1892.2499999999998</v>
      </c>
      <c r="Q18" s="114">
        <v>2.27</v>
      </c>
      <c r="R18" s="140">
        <v>0</v>
      </c>
      <c r="S18" s="129">
        <f t="shared" si="4"/>
        <v>0</v>
      </c>
      <c r="T18" s="125">
        <f t="shared" si="5"/>
        <v>0</v>
      </c>
      <c r="U18" s="126">
        <f t="shared" si="6"/>
        <v>1892.2499999999998</v>
      </c>
      <c r="V18" s="127">
        <v>1892</v>
      </c>
      <c r="W18" s="114">
        <v>4.3499999999999996</v>
      </c>
      <c r="X18" s="123">
        <v>27922</v>
      </c>
      <c r="Y18" s="130">
        <f t="shared" si="7"/>
        <v>388</v>
      </c>
      <c r="Z18" s="125">
        <f t="shared" si="8"/>
        <v>1687.8</v>
      </c>
      <c r="AA18" s="114">
        <v>2.27</v>
      </c>
      <c r="AB18" s="123">
        <v>0</v>
      </c>
      <c r="AC18" s="130">
        <f t="shared" si="9"/>
        <v>0</v>
      </c>
      <c r="AD18" s="125">
        <f t="shared" si="10"/>
        <v>0</v>
      </c>
      <c r="AE18" s="126">
        <f t="shared" si="11"/>
        <v>1687.8</v>
      </c>
      <c r="AF18" s="127">
        <v>1688</v>
      </c>
      <c r="AG18" s="114">
        <v>4.3499999999999996</v>
      </c>
      <c r="AH18" s="123">
        <v>28205</v>
      </c>
      <c r="AI18" s="129">
        <f t="shared" si="12"/>
        <v>283</v>
      </c>
      <c r="AJ18" s="125">
        <f t="shared" si="52"/>
        <v>1231.05</v>
      </c>
      <c r="AK18" s="114">
        <v>2.27</v>
      </c>
      <c r="AL18" s="123">
        <v>0</v>
      </c>
      <c r="AM18" s="129">
        <f t="shared" si="13"/>
        <v>0</v>
      </c>
      <c r="AN18" s="125">
        <f t="shared" si="53"/>
        <v>0</v>
      </c>
      <c r="AO18" s="131">
        <f t="shared" si="14"/>
        <v>1231.05</v>
      </c>
      <c r="AP18" s="127">
        <v>1231</v>
      </c>
      <c r="AQ18" s="114">
        <v>4.3499999999999996</v>
      </c>
      <c r="AR18" s="123">
        <v>28443</v>
      </c>
      <c r="AS18" s="130">
        <f t="shared" si="15"/>
        <v>238</v>
      </c>
      <c r="AT18" s="125">
        <f t="shared" si="16"/>
        <v>1035.3</v>
      </c>
      <c r="AU18" s="114">
        <v>2.27</v>
      </c>
      <c r="AV18" s="123">
        <v>0</v>
      </c>
      <c r="AW18" s="130">
        <f t="shared" si="17"/>
        <v>0</v>
      </c>
      <c r="AX18" s="125">
        <f t="shared" si="18"/>
        <v>0</v>
      </c>
      <c r="AY18" s="131">
        <f t="shared" si="19"/>
        <v>1035.3</v>
      </c>
      <c r="AZ18" s="127">
        <v>1035</v>
      </c>
      <c r="BA18" s="114">
        <v>4.3499999999999996</v>
      </c>
      <c r="BB18" s="123">
        <v>28551</v>
      </c>
      <c r="BC18" s="130">
        <f t="shared" si="20"/>
        <v>108</v>
      </c>
      <c r="BD18" s="125">
        <f t="shared" si="21"/>
        <v>469.79999999999995</v>
      </c>
      <c r="BE18" s="114">
        <v>2.27</v>
      </c>
      <c r="BF18" s="123">
        <v>0</v>
      </c>
      <c r="BG18" s="130">
        <f t="shared" si="22"/>
        <v>0</v>
      </c>
      <c r="BH18" s="125">
        <f t="shared" si="23"/>
        <v>0</v>
      </c>
      <c r="BI18" s="131">
        <f t="shared" si="24"/>
        <v>469.79999999999995</v>
      </c>
      <c r="BJ18" s="127">
        <v>470</v>
      </c>
      <c r="BK18" s="114">
        <v>4.49</v>
      </c>
      <c r="BL18" s="123">
        <v>28741</v>
      </c>
      <c r="BM18" s="130">
        <f t="shared" si="25"/>
        <v>190</v>
      </c>
      <c r="BN18" s="125">
        <f t="shared" si="26"/>
        <v>853.1</v>
      </c>
      <c r="BO18" s="114">
        <v>2.4300000000000002</v>
      </c>
      <c r="BP18" s="123">
        <v>0</v>
      </c>
      <c r="BQ18" s="130">
        <f t="shared" si="27"/>
        <v>0</v>
      </c>
      <c r="BR18" s="125">
        <f t="shared" si="28"/>
        <v>0</v>
      </c>
      <c r="BS18" s="131">
        <f t="shared" si="29"/>
        <v>853.1</v>
      </c>
      <c r="BT18" s="127">
        <v>853</v>
      </c>
      <c r="BU18" s="114">
        <v>4.49</v>
      </c>
      <c r="BV18" s="123">
        <v>29103</v>
      </c>
      <c r="BW18" s="130">
        <f t="shared" si="30"/>
        <v>362</v>
      </c>
      <c r="BX18" s="125">
        <f t="shared" si="31"/>
        <v>1625.38</v>
      </c>
      <c r="BY18" s="114">
        <v>2.4300000000000002</v>
      </c>
      <c r="BZ18" s="123">
        <v>0</v>
      </c>
      <c r="CA18" s="130">
        <f t="shared" si="32"/>
        <v>0</v>
      </c>
      <c r="CB18" s="125">
        <f t="shared" si="33"/>
        <v>0</v>
      </c>
      <c r="CC18" s="131">
        <f t="shared" si="34"/>
        <v>1625.38</v>
      </c>
      <c r="CD18" s="127">
        <v>1625</v>
      </c>
      <c r="CE18" s="114">
        <v>4.49</v>
      </c>
      <c r="CF18" s="123">
        <v>29590</v>
      </c>
      <c r="CG18" s="129">
        <f t="shared" si="35"/>
        <v>487</v>
      </c>
      <c r="CH18" s="125">
        <f t="shared" si="49"/>
        <v>2186.63</v>
      </c>
      <c r="CI18" s="114">
        <v>2.4300000000000002</v>
      </c>
      <c r="CJ18" s="123">
        <v>0</v>
      </c>
      <c r="CK18" s="129">
        <f t="shared" si="36"/>
        <v>0</v>
      </c>
      <c r="CL18" s="125">
        <f t="shared" si="37"/>
        <v>0</v>
      </c>
      <c r="CM18" s="127">
        <f t="shared" si="38"/>
        <v>2186.63</v>
      </c>
      <c r="CN18" s="127"/>
      <c r="CO18" s="114">
        <v>4.49</v>
      </c>
      <c r="CP18" s="123">
        <v>30053</v>
      </c>
      <c r="CQ18" s="130">
        <f t="shared" si="39"/>
        <v>463</v>
      </c>
      <c r="CR18" s="125">
        <f t="shared" si="40"/>
        <v>2078.87</v>
      </c>
      <c r="CS18" s="114">
        <v>2.4300000000000002</v>
      </c>
      <c r="CT18" s="123">
        <v>0</v>
      </c>
      <c r="CU18" s="130">
        <f t="shared" si="41"/>
        <v>0</v>
      </c>
      <c r="CV18" s="125">
        <f t="shared" si="50"/>
        <v>0</v>
      </c>
      <c r="CW18" s="131">
        <f t="shared" si="42"/>
        <v>2078.87</v>
      </c>
      <c r="CX18" s="127"/>
      <c r="CY18" s="114">
        <v>4.49</v>
      </c>
      <c r="CZ18" s="123">
        <v>30370</v>
      </c>
      <c r="DA18" s="130">
        <f t="shared" si="43"/>
        <v>317</v>
      </c>
      <c r="DB18" s="132">
        <f t="shared" si="44"/>
        <v>1423.3300000000002</v>
      </c>
      <c r="DC18" s="114">
        <v>2.4300000000000002</v>
      </c>
      <c r="DD18" s="123">
        <v>0</v>
      </c>
      <c r="DE18" s="130">
        <f t="shared" si="45"/>
        <v>0</v>
      </c>
      <c r="DF18" s="132">
        <f t="shared" si="46"/>
        <v>0</v>
      </c>
      <c r="DG18" s="133">
        <f t="shared" si="47"/>
        <v>1423.3300000000002</v>
      </c>
      <c r="DH18" s="131"/>
      <c r="DI18" s="114">
        <v>4.49</v>
      </c>
      <c r="DJ18" s="130"/>
      <c r="DK18" s="130"/>
      <c r="DL18" s="132"/>
      <c r="DM18" s="114">
        <v>2.4300000000000002</v>
      </c>
      <c r="DN18" s="130"/>
      <c r="DO18" s="130"/>
      <c r="DP18" s="132"/>
      <c r="DQ18" s="131">
        <f t="shared" si="48"/>
        <v>0</v>
      </c>
      <c r="DR18" s="131"/>
      <c r="DS18" s="134"/>
      <c r="DT18" s="135"/>
      <c r="DU18" s="26"/>
    </row>
    <row r="19" spans="1:125" ht="12.75" customHeight="1">
      <c r="A19" s="82" t="s">
        <v>171</v>
      </c>
      <c r="B19" s="136" t="s">
        <v>172</v>
      </c>
      <c r="C19" s="114">
        <v>4.3499999999999996</v>
      </c>
      <c r="D19" s="137">
        <v>63572</v>
      </c>
      <c r="E19" s="130">
        <f>D19-62552</f>
        <v>1020</v>
      </c>
      <c r="F19" s="125">
        <f t="shared" si="0"/>
        <v>4437</v>
      </c>
      <c r="G19" s="114">
        <v>2.27</v>
      </c>
      <c r="H19" s="137">
        <v>29738</v>
      </c>
      <c r="I19" s="130">
        <f>H19-29318</f>
        <v>420</v>
      </c>
      <c r="J19" s="125">
        <f t="shared" si="1"/>
        <v>953.4</v>
      </c>
      <c r="K19" s="126">
        <f t="shared" si="51"/>
        <v>5390.4</v>
      </c>
      <c r="L19" s="127">
        <v>5390</v>
      </c>
      <c r="M19" s="114">
        <v>4.3499999999999996</v>
      </c>
      <c r="N19" s="139">
        <v>64193</v>
      </c>
      <c r="O19" s="129">
        <f t="shared" si="2"/>
        <v>621</v>
      </c>
      <c r="P19" s="125">
        <f t="shared" si="3"/>
        <v>2701.35</v>
      </c>
      <c r="Q19" s="114">
        <v>2.27</v>
      </c>
      <c r="R19" s="140">
        <v>30023</v>
      </c>
      <c r="S19" s="129">
        <f t="shared" si="4"/>
        <v>285</v>
      </c>
      <c r="T19" s="125">
        <f t="shared" si="5"/>
        <v>646.95000000000005</v>
      </c>
      <c r="U19" s="126">
        <f t="shared" si="6"/>
        <v>3348.3</v>
      </c>
      <c r="V19" s="127">
        <v>3348</v>
      </c>
      <c r="W19" s="114">
        <v>4.3499999999999996</v>
      </c>
      <c r="X19" s="123">
        <v>65085</v>
      </c>
      <c r="Y19" s="130">
        <f t="shared" si="7"/>
        <v>892</v>
      </c>
      <c r="Z19" s="125">
        <f t="shared" si="8"/>
        <v>3880.2</v>
      </c>
      <c r="AA19" s="114">
        <v>2.27</v>
      </c>
      <c r="AB19" s="123">
        <v>30439</v>
      </c>
      <c r="AC19" s="130">
        <f t="shared" si="9"/>
        <v>416</v>
      </c>
      <c r="AD19" s="125">
        <f t="shared" si="10"/>
        <v>944.32</v>
      </c>
      <c r="AE19" s="126">
        <f t="shared" si="11"/>
        <v>4824.5199999999995</v>
      </c>
      <c r="AF19" s="127">
        <v>4825</v>
      </c>
      <c r="AG19" s="114">
        <v>4.3499999999999996</v>
      </c>
      <c r="AH19" s="123">
        <v>65576</v>
      </c>
      <c r="AI19" s="129">
        <f t="shared" si="12"/>
        <v>491</v>
      </c>
      <c r="AJ19" s="125">
        <f t="shared" si="52"/>
        <v>2135.85</v>
      </c>
      <c r="AK19" s="114">
        <v>2.27</v>
      </c>
      <c r="AL19" s="123">
        <v>30661</v>
      </c>
      <c r="AM19" s="129">
        <f t="shared" si="13"/>
        <v>222</v>
      </c>
      <c r="AN19" s="125">
        <f t="shared" si="53"/>
        <v>503.94</v>
      </c>
      <c r="AO19" s="131">
        <f t="shared" si="14"/>
        <v>2639.79</v>
      </c>
      <c r="AP19" s="127">
        <v>2640</v>
      </c>
      <c r="AQ19" s="114">
        <v>4.3499999999999996</v>
      </c>
      <c r="AR19" s="123">
        <v>65957</v>
      </c>
      <c r="AS19" s="130">
        <f t="shared" si="15"/>
        <v>381</v>
      </c>
      <c r="AT19" s="125">
        <f t="shared" si="16"/>
        <v>1657.35</v>
      </c>
      <c r="AU19" s="114">
        <v>2.27</v>
      </c>
      <c r="AV19" s="123">
        <v>30825</v>
      </c>
      <c r="AW19" s="130">
        <f t="shared" si="17"/>
        <v>164</v>
      </c>
      <c r="AX19" s="125">
        <f t="shared" si="18"/>
        <v>372.28000000000003</v>
      </c>
      <c r="AY19" s="131">
        <f t="shared" si="19"/>
        <v>2029.6299999999999</v>
      </c>
      <c r="AZ19" s="127">
        <v>2030</v>
      </c>
      <c r="BA19" s="114">
        <v>4.3499999999999996</v>
      </c>
      <c r="BB19" s="123">
        <v>66279</v>
      </c>
      <c r="BC19" s="130">
        <f t="shared" si="20"/>
        <v>322</v>
      </c>
      <c r="BD19" s="125">
        <f t="shared" si="21"/>
        <v>1400.6999999999998</v>
      </c>
      <c r="BE19" s="114">
        <v>2.27</v>
      </c>
      <c r="BF19" s="123">
        <v>31085</v>
      </c>
      <c r="BG19" s="130">
        <f t="shared" si="22"/>
        <v>260</v>
      </c>
      <c r="BH19" s="125">
        <f t="shared" si="23"/>
        <v>590.20000000000005</v>
      </c>
      <c r="BI19" s="131">
        <f t="shared" si="24"/>
        <v>1990.8999999999999</v>
      </c>
      <c r="BJ19" s="127">
        <v>1991</v>
      </c>
      <c r="BK19" s="114">
        <v>4.49</v>
      </c>
      <c r="BL19" s="123">
        <v>66613</v>
      </c>
      <c r="BM19" s="130">
        <f t="shared" si="25"/>
        <v>334</v>
      </c>
      <c r="BN19" s="125">
        <f t="shared" si="26"/>
        <v>1499.66</v>
      </c>
      <c r="BO19" s="114">
        <v>2.4300000000000002</v>
      </c>
      <c r="BP19" s="123">
        <v>31374</v>
      </c>
      <c r="BQ19" s="130">
        <f t="shared" si="27"/>
        <v>289</v>
      </c>
      <c r="BR19" s="125">
        <f t="shared" si="28"/>
        <v>702.2700000000001</v>
      </c>
      <c r="BS19" s="131">
        <f t="shared" si="29"/>
        <v>2201.9300000000003</v>
      </c>
      <c r="BT19" s="127">
        <v>2202</v>
      </c>
      <c r="BU19" s="114">
        <v>4.49</v>
      </c>
      <c r="BV19" s="123">
        <v>66940</v>
      </c>
      <c r="BW19" s="130">
        <f t="shared" si="30"/>
        <v>327</v>
      </c>
      <c r="BX19" s="125">
        <f t="shared" si="31"/>
        <v>1468.23</v>
      </c>
      <c r="BY19" s="114">
        <v>2.4300000000000002</v>
      </c>
      <c r="BZ19" s="123">
        <v>31619</v>
      </c>
      <c r="CA19" s="130">
        <f t="shared" si="32"/>
        <v>245</v>
      </c>
      <c r="CB19" s="125">
        <f t="shared" si="33"/>
        <v>595.35</v>
      </c>
      <c r="CC19" s="131">
        <f t="shared" si="34"/>
        <v>2063.58</v>
      </c>
      <c r="CD19" s="127">
        <v>2064</v>
      </c>
      <c r="CE19" s="114">
        <v>4.49</v>
      </c>
      <c r="CF19" s="123">
        <v>67327</v>
      </c>
      <c r="CG19" s="129">
        <f t="shared" si="35"/>
        <v>387</v>
      </c>
      <c r="CH19" s="125">
        <f t="shared" si="49"/>
        <v>1737.63</v>
      </c>
      <c r="CI19" s="114">
        <v>2.4300000000000002</v>
      </c>
      <c r="CJ19" s="123">
        <v>31817</v>
      </c>
      <c r="CK19" s="129">
        <f t="shared" si="36"/>
        <v>198</v>
      </c>
      <c r="CL19" s="125">
        <f t="shared" si="37"/>
        <v>481.14000000000004</v>
      </c>
      <c r="CM19" s="127">
        <f t="shared" si="38"/>
        <v>2218.77</v>
      </c>
      <c r="CN19" s="127">
        <v>2219</v>
      </c>
      <c r="CO19" s="114">
        <v>4.49</v>
      </c>
      <c r="CP19" s="123">
        <v>68231</v>
      </c>
      <c r="CQ19" s="130">
        <f t="shared" si="39"/>
        <v>904</v>
      </c>
      <c r="CR19" s="125">
        <f t="shared" si="40"/>
        <v>4058.96</v>
      </c>
      <c r="CS19" s="114">
        <v>2.4300000000000002</v>
      </c>
      <c r="CT19" s="123">
        <v>32250</v>
      </c>
      <c r="CU19" s="130">
        <f t="shared" si="41"/>
        <v>433</v>
      </c>
      <c r="CV19" s="125">
        <f t="shared" si="50"/>
        <v>1052.19</v>
      </c>
      <c r="CW19" s="131">
        <f t="shared" si="42"/>
        <v>5111.1499999999996</v>
      </c>
      <c r="CX19" s="127">
        <v>5111</v>
      </c>
      <c r="CY19" s="114">
        <v>4.49</v>
      </c>
      <c r="CZ19" s="123">
        <v>68806</v>
      </c>
      <c r="DA19" s="130">
        <f t="shared" si="43"/>
        <v>575</v>
      </c>
      <c r="DB19" s="132">
        <f t="shared" si="44"/>
        <v>2581.75</v>
      </c>
      <c r="DC19" s="114">
        <v>2.4300000000000002</v>
      </c>
      <c r="DD19" s="123">
        <v>32493</v>
      </c>
      <c r="DE19" s="130">
        <f t="shared" si="45"/>
        <v>243</v>
      </c>
      <c r="DF19" s="132">
        <f t="shared" si="46"/>
        <v>590.49</v>
      </c>
      <c r="DG19" s="133">
        <f t="shared" si="47"/>
        <v>3172.24</v>
      </c>
      <c r="DH19" s="127"/>
      <c r="DI19" s="114">
        <v>4.49</v>
      </c>
      <c r="DJ19" s="130"/>
      <c r="DK19" s="130"/>
      <c r="DL19" s="132"/>
      <c r="DM19" s="114">
        <v>2.4300000000000002</v>
      </c>
      <c r="DN19" s="130"/>
      <c r="DO19" s="130"/>
      <c r="DP19" s="132"/>
      <c r="DQ19" s="131">
        <f t="shared" si="48"/>
        <v>0</v>
      </c>
      <c r="DR19" s="127"/>
      <c r="DS19" s="134"/>
      <c r="DT19" s="135"/>
      <c r="DU19" s="26"/>
    </row>
    <row r="20" spans="1:125" ht="12.75" customHeight="1">
      <c r="A20" s="82" t="s">
        <v>173</v>
      </c>
      <c r="B20" s="136" t="s">
        <v>174</v>
      </c>
      <c r="C20" s="114">
        <v>4.3499999999999996</v>
      </c>
      <c r="D20" s="137">
        <v>39789</v>
      </c>
      <c r="E20" s="130">
        <f>D20-39325</f>
        <v>464</v>
      </c>
      <c r="F20" s="125">
        <f t="shared" si="0"/>
        <v>2018.3999999999999</v>
      </c>
      <c r="G20" s="114">
        <v>2.27</v>
      </c>
      <c r="H20" s="137">
        <v>19386</v>
      </c>
      <c r="I20" s="130">
        <f>H20-19206</f>
        <v>180</v>
      </c>
      <c r="J20" s="125">
        <f t="shared" si="1"/>
        <v>408.6</v>
      </c>
      <c r="K20" s="126">
        <f t="shared" si="51"/>
        <v>2427</v>
      </c>
      <c r="L20" s="127">
        <v>2427</v>
      </c>
      <c r="M20" s="114">
        <v>4.3499999999999996</v>
      </c>
      <c r="N20" s="139">
        <v>40132</v>
      </c>
      <c r="O20" s="129">
        <f t="shared" si="2"/>
        <v>343</v>
      </c>
      <c r="P20" s="125">
        <f t="shared" si="3"/>
        <v>1492.05</v>
      </c>
      <c r="Q20" s="114">
        <v>2.27</v>
      </c>
      <c r="R20" s="140">
        <v>19527</v>
      </c>
      <c r="S20" s="129">
        <f t="shared" si="4"/>
        <v>141</v>
      </c>
      <c r="T20" s="125">
        <f t="shared" si="5"/>
        <v>320.07</v>
      </c>
      <c r="U20" s="126">
        <f t="shared" si="6"/>
        <v>1812.12</v>
      </c>
      <c r="V20" s="127">
        <v>1812</v>
      </c>
      <c r="W20" s="114">
        <v>4.3499999999999996</v>
      </c>
      <c r="X20" s="123">
        <v>40424</v>
      </c>
      <c r="Y20" s="130">
        <f t="shared" si="7"/>
        <v>292</v>
      </c>
      <c r="Z20" s="125">
        <f t="shared" si="8"/>
        <v>1270.1999999999998</v>
      </c>
      <c r="AA20" s="114">
        <v>2.27</v>
      </c>
      <c r="AB20" s="123">
        <v>19657</v>
      </c>
      <c r="AC20" s="130">
        <f t="shared" si="9"/>
        <v>130</v>
      </c>
      <c r="AD20" s="125">
        <f t="shared" si="10"/>
        <v>295.10000000000002</v>
      </c>
      <c r="AE20" s="126">
        <f t="shared" si="11"/>
        <v>1565.2999999999997</v>
      </c>
      <c r="AF20" s="127">
        <v>1565</v>
      </c>
      <c r="AG20" s="114">
        <v>4.3499999999999996</v>
      </c>
      <c r="AH20" s="123">
        <v>40649</v>
      </c>
      <c r="AI20" s="129">
        <f t="shared" si="12"/>
        <v>225</v>
      </c>
      <c r="AJ20" s="125">
        <f t="shared" si="52"/>
        <v>978.74999999999989</v>
      </c>
      <c r="AK20" s="114">
        <v>2.27</v>
      </c>
      <c r="AL20" s="123">
        <v>19767</v>
      </c>
      <c r="AM20" s="129">
        <f t="shared" si="13"/>
        <v>110</v>
      </c>
      <c r="AN20" s="125">
        <f t="shared" si="53"/>
        <v>249.7</v>
      </c>
      <c r="AO20" s="131">
        <f t="shared" si="14"/>
        <v>1228.4499999999998</v>
      </c>
      <c r="AP20" s="127">
        <v>1228</v>
      </c>
      <c r="AQ20" s="114">
        <v>4.3499999999999996</v>
      </c>
      <c r="AR20" s="123">
        <v>40762</v>
      </c>
      <c r="AS20" s="130">
        <f t="shared" si="15"/>
        <v>113</v>
      </c>
      <c r="AT20" s="125">
        <f t="shared" si="16"/>
        <v>491.54999999999995</v>
      </c>
      <c r="AU20" s="114">
        <v>2.27</v>
      </c>
      <c r="AV20" s="123">
        <v>19821</v>
      </c>
      <c r="AW20" s="130">
        <f t="shared" si="17"/>
        <v>54</v>
      </c>
      <c r="AX20" s="125">
        <f t="shared" si="18"/>
        <v>122.58</v>
      </c>
      <c r="AY20" s="131">
        <f t="shared" si="19"/>
        <v>614.13</v>
      </c>
      <c r="AZ20" s="127">
        <v>614</v>
      </c>
      <c r="BA20" s="114">
        <v>4.3499999999999996</v>
      </c>
      <c r="BB20" s="123">
        <v>41084</v>
      </c>
      <c r="BC20" s="130">
        <f t="shared" si="20"/>
        <v>322</v>
      </c>
      <c r="BD20" s="125">
        <f t="shared" si="21"/>
        <v>1400.6999999999998</v>
      </c>
      <c r="BE20" s="114">
        <v>2.27</v>
      </c>
      <c r="BF20" s="123">
        <v>19970</v>
      </c>
      <c r="BG20" s="130">
        <f t="shared" si="22"/>
        <v>149</v>
      </c>
      <c r="BH20" s="125">
        <f t="shared" si="23"/>
        <v>338.23</v>
      </c>
      <c r="BI20" s="131">
        <f t="shared" si="24"/>
        <v>1738.9299999999998</v>
      </c>
      <c r="BJ20" s="127">
        <v>1739</v>
      </c>
      <c r="BK20" s="114">
        <v>4.49</v>
      </c>
      <c r="BL20" s="123">
        <v>41514</v>
      </c>
      <c r="BM20" s="130">
        <f t="shared" si="25"/>
        <v>430</v>
      </c>
      <c r="BN20" s="125">
        <f t="shared" si="26"/>
        <v>1930.7</v>
      </c>
      <c r="BO20" s="114">
        <v>2.4300000000000002</v>
      </c>
      <c r="BP20" s="123">
        <v>20161</v>
      </c>
      <c r="BQ20" s="130">
        <f t="shared" si="27"/>
        <v>191</v>
      </c>
      <c r="BR20" s="125">
        <f t="shared" si="28"/>
        <v>464.13000000000005</v>
      </c>
      <c r="BS20" s="131">
        <f t="shared" si="29"/>
        <v>2394.83</v>
      </c>
      <c r="BT20" s="127">
        <v>2395</v>
      </c>
      <c r="BU20" s="114">
        <v>4.49</v>
      </c>
      <c r="BV20" s="123">
        <v>41953</v>
      </c>
      <c r="BW20" s="130">
        <f t="shared" si="30"/>
        <v>439</v>
      </c>
      <c r="BX20" s="125">
        <f t="shared" si="31"/>
        <v>1971.1100000000001</v>
      </c>
      <c r="BY20" s="114">
        <v>2.4300000000000002</v>
      </c>
      <c r="BZ20" s="123">
        <v>20365</v>
      </c>
      <c r="CA20" s="130">
        <f t="shared" si="32"/>
        <v>204</v>
      </c>
      <c r="CB20" s="125">
        <f t="shared" si="33"/>
        <v>495.72</v>
      </c>
      <c r="CC20" s="131">
        <f t="shared" si="34"/>
        <v>2466.83</v>
      </c>
      <c r="CD20" s="127">
        <v>2467</v>
      </c>
      <c r="CE20" s="114">
        <v>4.49</v>
      </c>
      <c r="CF20" s="123">
        <v>42424</v>
      </c>
      <c r="CG20" s="129">
        <f t="shared" si="35"/>
        <v>471</v>
      </c>
      <c r="CH20" s="125">
        <f t="shared" si="49"/>
        <v>2114.79</v>
      </c>
      <c r="CI20" s="114">
        <v>2.4300000000000002</v>
      </c>
      <c r="CJ20" s="123">
        <v>20578</v>
      </c>
      <c r="CK20" s="129">
        <f t="shared" si="36"/>
        <v>213</v>
      </c>
      <c r="CL20" s="125">
        <f t="shared" si="37"/>
        <v>517.59</v>
      </c>
      <c r="CM20" s="127">
        <f t="shared" si="38"/>
        <v>2632.38</v>
      </c>
      <c r="CN20" s="127">
        <v>2632</v>
      </c>
      <c r="CO20" s="114">
        <v>4.49</v>
      </c>
      <c r="CP20" s="123">
        <v>42756</v>
      </c>
      <c r="CQ20" s="130">
        <f t="shared" si="39"/>
        <v>332</v>
      </c>
      <c r="CR20" s="125">
        <f t="shared" si="40"/>
        <v>1490.68</v>
      </c>
      <c r="CS20" s="114">
        <v>2.4300000000000002</v>
      </c>
      <c r="CT20" s="123">
        <v>20721</v>
      </c>
      <c r="CU20" s="130">
        <f t="shared" si="41"/>
        <v>143</v>
      </c>
      <c r="CV20" s="125">
        <f t="shared" si="50"/>
        <v>347.49</v>
      </c>
      <c r="CW20" s="131">
        <f t="shared" si="42"/>
        <v>1838.17</v>
      </c>
      <c r="CX20" s="127">
        <v>1838</v>
      </c>
      <c r="CY20" s="114">
        <v>4.49</v>
      </c>
      <c r="CZ20" s="123">
        <v>43167</v>
      </c>
      <c r="DA20" s="130">
        <f t="shared" si="43"/>
        <v>411</v>
      </c>
      <c r="DB20" s="132">
        <f t="shared" si="44"/>
        <v>1845.39</v>
      </c>
      <c r="DC20" s="114">
        <v>2.4300000000000002</v>
      </c>
      <c r="DD20" s="123">
        <v>20882</v>
      </c>
      <c r="DE20" s="130">
        <f t="shared" si="45"/>
        <v>161</v>
      </c>
      <c r="DF20" s="132">
        <f t="shared" si="46"/>
        <v>391.23</v>
      </c>
      <c r="DG20" s="133">
        <f t="shared" si="47"/>
        <v>2236.62</v>
      </c>
      <c r="DH20" s="131"/>
      <c r="DI20" s="114">
        <v>4.49</v>
      </c>
      <c r="DJ20" s="130"/>
      <c r="DK20" s="130"/>
      <c r="DL20" s="132"/>
      <c r="DM20" s="114">
        <v>2.4300000000000002</v>
      </c>
      <c r="DN20" s="130"/>
      <c r="DO20" s="130"/>
      <c r="DP20" s="132"/>
      <c r="DQ20" s="131">
        <f t="shared" si="48"/>
        <v>0</v>
      </c>
      <c r="DR20" s="131"/>
      <c r="DS20" s="134"/>
      <c r="DT20" s="135"/>
      <c r="DU20" s="26"/>
    </row>
    <row r="21" spans="1:125" ht="12.75" customHeight="1">
      <c r="A21" s="82" t="s">
        <v>229</v>
      </c>
      <c r="B21" s="136" t="s">
        <v>176</v>
      </c>
      <c r="C21" s="114">
        <v>4.3499999999999996</v>
      </c>
      <c r="D21" s="142">
        <v>5322</v>
      </c>
      <c r="E21" s="130">
        <f>D21-5322</f>
        <v>0</v>
      </c>
      <c r="F21" s="125">
        <f t="shared" si="0"/>
        <v>0</v>
      </c>
      <c r="G21" s="114">
        <v>2.27</v>
      </c>
      <c r="H21" s="137">
        <v>2155</v>
      </c>
      <c r="I21" s="130">
        <f>H21-2158</f>
        <v>-3</v>
      </c>
      <c r="J21" s="125">
        <f t="shared" si="1"/>
        <v>-6.8100000000000005</v>
      </c>
      <c r="K21" s="126">
        <f t="shared" si="51"/>
        <v>-6.8100000000000005</v>
      </c>
      <c r="L21" s="127">
        <v>0</v>
      </c>
      <c r="M21" s="114">
        <v>4.3499999999999996</v>
      </c>
      <c r="N21" s="139">
        <v>5322</v>
      </c>
      <c r="O21" s="129">
        <f t="shared" si="2"/>
        <v>0</v>
      </c>
      <c r="P21" s="125">
        <f t="shared" si="3"/>
        <v>0</v>
      </c>
      <c r="Q21" s="114">
        <v>2.27</v>
      </c>
      <c r="R21" s="140">
        <v>2158</v>
      </c>
      <c r="S21" s="129">
        <f t="shared" si="4"/>
        <v>3</v>
      </c>
      <c r="T21" s="125">
        <f t="shared" si="5"/>
        <v>6.8100000000000005</v>
      </c>
      <c r="U21" s="126">
        <f t="shared" si="6"/>
        <v>6.8100000000000005</v>
      </c>
      <c r="V21" s="127">
        <v>0</v>
      </c>
      <c r="W21" s="114">
        <v>4.3499999999999996</v>
      </c>
      <c r="X21" s="123">
        <v>5644</v>
      </c>
      <c r="Y21" s="130">
        <f t="shared" si="7"/>
        <v>322</v>
      </c>
      <c r="Z21" s="125">
        <f t="shared" si="8"/>
        <v>1400.6999999999998</v>
      </c>
      <c r="AA21" s="114">
        <v>2.27</v>
      </c>
      <c r="AB21" s="123">
        <v>2319</v>
      </c>
      <c r="AC21" s="130">
        <f t="shared" si="9"/>
        <v>161</v>
      </c>
      <c r="AD21" s="125">
        <f t="shared" si="10"/>
        <v>365.47</v>
      </c>
      <c r="AE21" s="126">
        <f t="shared" si="11"/>
        <v>1766.1699999999998</v>
      </c>
      <c r="AF21" s="127">
        <v>1766</v>
      </c>
      <c r="AG21" s="114">
        <v>4.3499999999999996</v>
      </c>
      <c r="AH21" s="123">
        <v>5695</v>
      </c>
      <c r="AI21" s="129">
        <f t="shared" si="12"/>
        <v>51</v>
      </c>
      <c r="AJ21" s="125">
        <f t="shared" si="52"/>
        <v>221.85</v>
      </c>
      <c r="AK21" s="114">
        <v>2.27</v>
      </c>
      <c r="AL21" s="123">
        <v>2341</v>
      </c>
      <c r="AM21" s="129">
        <f t="shared" si="13"/>
        <v>22</v>
      </c>
      <c r="AN21" s="125">
        <f t="shared" si="53"/>
        <v>49.94</v>
      </c>
      <c r="AO21" s="131">
        <f t="shared" si="14"/>
        <v>271.78999999999996</v>
      </c>
      <c r="AP21" s="127">
        <v>272</v>
      </c>
      <c r="AQ21" s="114">
        <v>4.3499999999999996</v>
      </c>
      <c r="AR21" s="123">
        <v>5695</v>
      </c>
      <c r="AS21" s="130">
        <f t="shared" si="15"/>
        <v>0</v>
      </c>
      <c r="AT21" s="125">
        <f t="shared" si="16"/>
        <v>0</v>
      </c>
      <c r="AU21" s="114">
        <v>2.27</v>
      </c>
      <c r="AV21" s="123">
        <v>2341</v>
      </c>
      <c r="AW21" s="130">
        <f t="shared" si="17"/>
        <v>0</v>
      </c>
      <c r="AX21" s="125">
        <f t="shared" si="18"/>
        <v>0</v>
      </c>
      <c r="AY21" s="131">
        <f t="shared" si="19"/>
        <v>0</v>
      </c>
      <c r="AZ21" s="127">
        <v>0</v>
      </c>
      <c r="BA21" s="114">
        <v>4.3499999999999996</v>
      </c>
      <c r="BB21" s="123">
        <v>5695</v>
      </c>
      <c r="BC21" s="130">
        <f t="shared" si="20"/>
        <v>0</v>
      </c>
      <c r="BD21" s="125">
        <f t="shared" si="21"/>
        <v>0</v>
      </c>
      <c r="BE21" s="114">
        <v>2.27</v>
      </c>
      <c r="BF21" s="123">
        <v>2341</v>
      </c>
      <c r="BG21" s="130">
        <f t="shared" si="22"/>
        <v>0</v>
      </c>
      <c r="BH21" s="125">
        <f t="shared" si="23"/>
        <v>0</v>
      </c>
      <c r="BI21" s="131">
        <f t="shared" si="24"/>
        <v>0</v>
      </c>
      <c r="BJ21" s="127">
        <v>0</v>
      </c>
      <c r="BK21" s="114">
        <v>4.49</v>
      </c>
      <c r="BL21" s="123">
        <v>5695</v>
      </c>
      <c r="BM21" s="130">
        <f t="shared" si="25"/>
        <v>0</v>
      </c>
      <c r="BN21" s="125">
        <f t="shared" si="26"/>
        <v>0</v>
      </c>
      <c r="BO21" s="114">
        <v>2.4300000000000002</v>
      </c>
      <c r="BP21" s="123">
        <v>2341</v>
      </c>
      <c r="BQ21" s="130">
        <f t="shared" si="27"/>
        <v>0</v>
      </c>
      <c r="BR21" s="125">
        <f t="shared" si="28"/>
        <v>0</v>
      </c>
      <c r="BS21" s="131">
        <f t="shared" si="29"/>
        <v>0</v>
      </c>
      <c r="BT21" s="127">
        <v>0</v>
      </c>
      <c r="BU21" s="114">
        <v>4.49</v>
      </c>
      <c r="BV21" s="123">
        <v>5695</v>
      </c>
      <c r="BW21" s="130">
        <f t="shared" si="30"/>
        <v>0</v>
      </c>
      <c r="BX21" s="125">
        <f t="shared" si="31"/>
        <v>0</v>
      </c>
      <c r="BY21" s="114">
        <v>2.4300000000000002</v>
      </c>
      <c r="BZ21" s="123">
        <v>2341</v>
      </c>
      <c r="CA21" s="130">
        <f t="shared" si="32"/>
        <v>0</v>
      </c>
      <c r="CB21" s="125">
        <f t="shared" si="33"/>
        <v>0</v>
      </c>
      <c r="CC21" s="131">
        <f t="shared" si="34"/>
        <v>0</v>
      </c>
      <c r="CD21" s="127">
        <v>0</v>
      </c>
      <c r="CE21" s="114">
        <v>4.49</v>
      </c>
      <c r="CF21" s="123">
        <v>5695</v>
      </c>
      <c r="CG21" s="129">
        <f t="shared" si="35"/>
        <v>0</v>
      </c>
      <c r="CH21" s="125">
        <f t="shared" si="49"/>
        <v>0</v>
      </c>
      <c r="CI21" s="114">
        <v>2.4300000000000002</v>
      </c>
      <c r="CJ21" s="123">
        <v>2341</v>
      </c>
      <c r="CK21" s="129">
        <f t="shared" si="36"/>
        <v>0</v>
      </c>
      <c r="CL21" s="125">
        <f t="shared" si="37"/>
        <v>0</v>
      </c>
      <c r="CM21" s="127">
        <f t="shared" si="38"/>
        <v>0</v>
      </c>
      <c r="CN21" s="127">
        <v>0</v>
      </c>
      <c r="CO21" s="114">
        <v>4.49</v>
      </c>
      <c r="CP21" s="123">
        <v>5695</v>
      </c>
      <c r="CQ21" s="130">
        <f t="shared" si="39"/>
        <v>0</v>
      </c>
      <c r="CR21" s="125">
        <f t="shared" si="40"/>
        <v>0</v>
      </c>
      <c r="CS21" s="114">
        <v>2.4300000000000002</v>
      </c>
      <c r="CT21" s="123">
        <v>2341</v>
      </c>
      <c r="CU21" s="130">
        <f t="shared" si="41"/>
        <v>0</v>
      </c>
      <c r="CV21" s="125">
        <f t="shared" si="50"/>
        <v>0</v>
      </c>
      <c r="CW21" s="131">
        <f t="shared" si="42"/>
        <v>0</v>
      </c>
      <c r="CX21" s="127">
        <v>0</v>
      </c>
      <c r="CY21" s="114">
        <v>4.49</v>
      </c>
      <c r="CZ21" s="123">
        <v>5695</v>
      </c>
      <c r="DA21" s="130">
        <f t="shared" si="43"/>
        <v>0</v>
      </c>
      <c r="DB21" s="132">
        <f t="shared" si="44"/>
        <v>0</v>
      </c>
      <c r="DC21" s="114">
        <v>2.4300000000000002</v>
      </c>
      <c r="DD21" s="123">
        <v>2341</v>
      </c>
      <c r="DE21" s="130">
        <f t="shared" si="45"/>
        <v>0</v>
      </c>
      <c r="DF21" s="132">
        <f t="shared" si="46"/>
        <v>0</v>
      </c>
      <c r="DG21" s="133">
        <f t="shared" si="47"/>
        <v>0</v>
      </c>
      <c r="DH21" s="131"/>
      <c r="DI21" s="114">
        <v>4.49</v>
      </c>
      <c r="DJ21" s="130"/>
      <c r="DK21" s="130"/>
      <c r="DL21" s="132"/>
      <c r="DM21" s="114">
        <v>2.4300000000000002</v>
      </c>
      <c r="DN21" s="130"/>
      <c r="DO21" s="130"/>
      <c r="DP21" s="132"/>
      <c r="DQ21" s="131">
        <f t="shared" si="48"/>
        <v>0</v>
      </c>
      <c r="DR21" s="131"/>
      <c r="DS21" s="134"/>
      <c r="DT21" s="135"/>
      <c r="DU21" s="26"/>
    </row>
    <row r="22" spans="1:125" ht="12.75" customHeight="1">
      <c r="A22" s="82" t="s">
        <v>230</v>
      </c>
      <c r="B22" s="136" t="s">
        <v>176</v>
      </c>
      <c r="C22" s="114">
        <v>4.3499999999999996</v>
      </c>
      <c r="D22" s="137">
        <v>29886</v>
      </c>
      <c r="E22" s="130">
        <f>D22-29386</f>
        <v>500</v>
      </c>
      <c r="F22" s="125">
        <f t="shared" si="0"/>
        <v>2175</v>
      </c>
      <c r="G22" s="114">
        <v>2.27</v>
      </c>
      <c r="H22" s="137">
        <v>15047</v>
      </c>
      <c r="I22" s="130">
        <f>H22-14494</f>
        <v>553</v>
      </c>
      <c r="J22" s="125">
        <f t="shared" si="1"/>
        <v>1255.31</v>
      </c>
      <c r="K22" s="126">
        <f t="shared" si="51"/>
        <v>3430.31</v>
      </c>
      <c r="L22" s="127">
        <v>3430</v>
      </c>
      <c r="M22" s="114">
        <v>4.3499999999999996</v>
      </c>
      <c r="N22" s="139">
        <v>30200</v>
      </c>
      <c r="O22" s="129">
        <f t="shared" si="2"/>
        <v>314</v>
      </c>
      <c r="P22" s="125">
        <f t="shared" si="3"/>
        <v>1365.8999999999999</v>
      </c>
      <c r="Q22" s="114">
        <v>2.27</v>
      </c>
      <c r="R22" s="140">
        <v>15318</v>
      </c>
      <c r="S22" s="129">
        <f t="shared" si="4"/>
        <v>271</v>
      </c>
      <c r="T22" s="125">
        <f t="shared" si="5"/>
        <v>615.16999999999996</v>
      </c>
      <c r="U22" s="126">
        <f t="shared" si="6"/>
        <v>1981.0699999999997</v>
      </c>
      <c r="V22" s="127">
        <v>1981</v>
      </c>
      <c r="W22" s="114">
        <v>4.3499999999999996</v>
      </c>
      <c r="X22" s="123">
        <v>30556</v>
      </c>
      <c r="Y22" s="130">
        <f t="shared" si="7"/>
        <v>356</v>
      </c>
      <c r="Z22" s="125">
        <f t="shared" si="8"/>
        <v>1548.6</v>
      </c>
      <c r="AA22" s="114">
        <v>2.27</v>
      </c>
      <c r="AB22" s="123">
        <v>15580</v>
      </c>
      <c r="AC22" s="130">
        <f t="shared" si="9"/>
        <v>262</v>
      </c>
      <c r="AD22" s="125">
        <f t="shared" si="10"/>
        <v>594.74</v>
      </c>
      <c r="AE22" s="126">
        <f t="shared" si="11"/>
        <v>2143.34</v>
      </c>
      <c r="AF22" s="127">
        <v>2143</v>
      </c>
      <c r="AG22" s="114">
        <v>4.3499999999999996</v>
      </c>
      <c r="AH22" s="123">
        <v>30786</v>
      </c>
      <c r="AI22" s="129">
        <f t="shared" si="12"/>
        <v>230</v>
      </c>
      <c r="AJ22" s="125">
        <f t="shared" si="52"/>
        <v>1000.4999999999999</v>
      </c>
      <c r="AK22" s="114">
        <v>2.27</v>
      </c>
      <c r="AL22" s="123">
        <v>15711</v>
      </c>
      <c r="AM22" s="129">
        <f t="shared" si="13"/>
        <v>131</v>
      </c>
      <c r="AN22" s="125">
        <f t="shared" si="53"/>
        <v>297.37</v>
      </c>
      <c r="AO22" s="131">
        <f t="shared" si="14"/>
        <v>1297.8699999999999</v>
      </c>
      <c r="AP22" s="127">
        <v>1298</v>
      </c>
      <c r="AQ22" s="114">
        <v>4.3499999999999996</v>
      </c>
      <c r="AR22" s="123">
        <v>30968</v>
      </c>
      <c r="AS22" s="130">
        <f t="shared" si="15"/>
        <v>182</v>
      </c>
      <c r="AT22" s="125">
        <f t="shared" si="16"/>
        <v>791.69999999999993</v>
      </c>
      <c r="AU22" s="114">
        <v>2.27</v>
      </c>
      <c r="AV22" s="123">
        <v>15769</v>
      </c>
      <c r="AW22" s="130">
        <f t="shared" si="17"/>
        <v>58</v>
      </c>
      <c r="AX22" s="125">
        <f t="shared" si="18"/>
        <v>131.66</v>
      </c>
      <c r="AY22" s="131">
        <f t="shared" si="19"/>
        <v>923.3599999999999</v>
      </c>
      <c r="AZ22" s="127">
        <v>923</v>
      </c>
      <c r="BA22" s="114">
        <v>4.3499999999999996</v>
      </c>
      <c r="BB22" s="123">
        <v>31148</v>
      </c>
      <c r="BC22" s="130">
        <f t="shared" si="20"/>
        <v>180</v>
      </c>
      <c r="BD22" s="125">
        <f t="shared" si="21"/>
        <v>782.99999999999989</v>
      </c>
      <c r="BE22" s="114">
        <v>2.27</v>
      </c>
      <c r="BF22" s="123">
        <v>15842</v>
      </c>
      <c r="BG22" s="130">
        <f t="shared" si="22"/>
        <v>73</v>
      </c>
      <c r="BH22" s="125">
        <f t="shared" si="23"/>
        <v>165.71</v>
      </c>
      <c r="BI22" s="131">
        <f t="shared" si="24"/>
        <v>948.70999999999992</v>
      </c>
      <c r="BJ22" s="127">
        <v>949</v>
      </c>
      <c r="BK22" s="114">
        <v>4.49</v>
      </c>
      <c r="BL22" s="123">
        <v>31345</v>
      </c>
      <c r="BM22" s="130">
        <f t="shared" si="25"/>
        <v>197</v>
      </c>
      <c r="BN22" s="125">
        <f t="shared" si="26"/>
        <v>884.53000000000009</v>
      </c>
      <c r="BO22" s="114">
        <v>2.4300000000000002</v>
      </c>
      <c r="BP22" s="123">
        <v>15911</v>
      </c>
      <c r="BQ22" s="130">
        <f t="shared" si="27"/>
        <v>69</v>
      </c>
      <c r="BR22" s="125">
        <f t="shared" si="28"/>
        <v>167.67000000000002</v>
      </c>
      <c r="BS22" s="131">
        <f t="shared" si="29"/>
        <v>1052.2</v>
      </c>
      <c r="BT22" s="127">
        <v>1052</v>
      </c>
      <c r="BU22" s="114">
        <v>4.49</v>
      </c>
      <c r="BV22" s="123">
        <v>31523</v>
      </c>
      <c r="BW22" s="130">
        <f t="shared" si="30"/>
        <v>178</v>
      </c>
      <c r="BX22" s="125">
        <f t="shared" si="31"/>
        <v>799.22</v>
      </c>
      <c r="BY22" s="114">
        <v>2.4300000000000002</v>
      </c>
      <c r="BZ22" s="123">
        <v>15985</v>
      </c>
      <c r="CA22" s="130">
        <f t="shared" si="32"/>
        <v>74</v>
      </c>
      <c r="CB22" s="125">
        <f t="shared" si="33"/>
        <v>179.82000000000002</v>
      </c>
      <c r="CC22" s="131">
        <f t="shared" si="34"/>
        <v>979.04000000000008</v>
      </c>
      <c r="CD22" s="127">
        <v>979</v>
      </c>
      <c r="CE22" s="114">
        <v>4.49</v>
      </c>
      <c r="CF22" s="123">
        <v>31735</v>
      </c>
      <c r="CG22" s="129">
        <f t="shared" si="35"/>
        <v>212</v>
      </c>
      <c r="CH22" s="125">
        <f t="shared" si="49"/>
        <v>951.88</v>
      </c>
      <c r="CI22" s="114">
        <v>2.4300000000000002</v>
      </c>
      <c r="CJ22" s="123">
        <v>16058</v>
      </c>
      <c r="CK22" s="129">
        <f t="shared" si="36"/>
        <v>73</v>
      </c>
      <c r="CL22" s="125">
        <f t="shared" si="37"/>
        <v>177.39000000000001</v>
      </c>
      <c r="CM22" s="127">
        <f t="shared" si="38"/>
        <v>1129.27</v>
      </c>
      <c r="CN22" s="127">
        <v>1129</v>
      </c>
      <c r="CO22" s="114">
        <v>4.49</v>
      </c>
      <c r="CP22" s="123">
        <v>31886</v>
      </c>
      <c r="CQ22" s="130">
        <f t="shared" si="39"/>
        <v>151</v>
      </c>
      <c r="CR22" s="125">
        <f t="shared" si="40"/>
        <v>677.99</v>
      </c>
      <c r="CS22" s="114">
        <v>2.4300000000000002</v>
      </c>
      <c r="CT22" s="123">
        <v>16106</v>
      </c>
      <c r="CU22" s="130">
        <f t="shared" si="41"/>
        <v>48</v>
      </c>
      <c r="CV22" s="125">
        <f t="shared" si="50"/>
        <v>116.64000000000001</v>
      </c>
      <c r="CW22" s="131">
        <f t="shared" si="42"/>
        <v>794.63</v>
      </c>
      <c r="CX22" s="127">
        <v>795</v>
      </c>
      <c r="CY22" s="114">
        <v>4.49</v>
      </c>
      <c r="CZ22" s="123">
        <v>32125</v>
      </c>
      <c r="DA22" s="130">
        <f t="shared" si="43"/>
        <v>239</v>
      </c>
      <c r="DB22" s="132">
        <f t="shared" si="44"/>
        <v>1073.1100000000001</v>
      </c>
      <c r="DC22" s="114">
        <v>2.4300000000000002</v>
      </c>
      <c r="DD22" s="123">
        <v>16197</v>
      </c>
      <c r="DE22" s="130">
        <f t="shared" si="45"/>
        <v>91</v>
      </c>
      <c r="DF22" s="132">
        <f t="shared" si="46"/>
        <v>221.13000000000002</v>
      </c>
      <c r="DG22" s="133">
        <f t="shared" si="47"/>
        <v>1294.2400000000002</v>
      </c>
      <c r="DH22" s="131"/>
      <c r="DI22" s="114">
        <v>4.49</v>
      </c>
      <c r="DJ22" s="130"/>
      <c r="DK22" s="130"/>
      <c r="DL22" s="132"/>
      <c r="DM22" s="114">
        <v>2.4300000000000002</v>
      </c>
      <c r="DN22" s="130"/>
      <c r="DO22" s="130"/>
      <c r="DP22" s="132"/>
      <c r="DQ22" s="131">
        <f t="shared" si="48"/>
        <v>0</v>
      </c>
      <c r="DR22" s="131"/>
      <c r="DS22" s="134"/>
      <c r="DT22" s="135"/>
      <c r="DU22" s="26"/>
    </row>
    <row r="23" spans="1:125" ht="12.75" customHeight="1">
      <c r="A23" s="82" t="s">
        <v>177</v>
      </c>
      <c r="B23" s="83" t="s">
        <v>178</v>
      </c>
      <c r="C23" s="114">
        <v>4.3499999999999996</v>
      </c>
      <c r="D23" s="137">
        <v>75095</v>
      </c>
      <c r="E23" s="130">
        <f>D23-73560</f>
        <v>1535</v>
      </c>
      <c r="F23" s="125">
        <f t="shared" si="0"/>
        <v>6677.2499999999991</v>
      </c>
      <c r="G23" s="114">
        <v>2.27</v>
      </c>
      <c r="H23" s="137">
        <v>36509</v>
      </c>
      <c r="I23" s="130">
        <f>H23-35771</f>
        <v>738</v>
      </c>
      <c r="J23" s="125">
        <f t="shared" si="1"/>
        <v>1675.26</v>
      </c>
      <c r="K23" s="126">
        <f t="shared" si="51"/>
        <v>8352.5099999999984</v>
      </c>
      <c r="L23" s="127">
        <v>8353</v>
      </c>
      <c r="M23" s="114">
        <v>4.3499999999999996</v>
      </c>
      <c r="N23" s="139">
        <v>76225</v>
      </c>
      <c r="O23" s="129">
        <f t="shared" si="2"/>
        <v>1130</v>
      </c>
      <c r="P23" s="125">
        <f t="shared" si="3"/>
        <v>4915.5</v>
      </c>
      <c r="Q23" s="114">
        <v>2.27</v>
      </c>
      <c r="R23" s="140">
        <v>37079</v>
      </c>
      <c r="S23" s="129">
        <f t="shared" si="4"/>
        <v>570</v>
      </c>
      <c r="T23" s="125">
        <f t="shared" si="5"/>
        <v>1293.9000000000001</v>
      </c>
      <c r="U23" s="126">
        <f t="shared" si="6"/>
        <v>6209.4</v>
      </c>
      <c r="V23" s="127">
        <v>6209</v>
      </c>
      <c r="W23" s="114">
        <v>4.3499999999999996</v>
      </c>
      <c r="X23" s="123">
        <v>77037</v>
      </c>
      <c r="Y23" s="130">
        <f t="shared" si="7"/>
        <v>812</v>
      </c>
      <c r="Z23" s="125">
        <f t="shared" si="8"/>
        <v>3532.2</v>
      </c>
      <c r="AA23" s="114">
        <v>2.27</v>
      </c>
      <c r="AB23" s="123">
        <v>37486</v>
      </c>
      <c r="AC23" s="130">
        <f t="shared" si="9"/>
        <v>407</v>
      </c>
      <c r="AD23" s="125">
        <f t="shared" si="10"/>
        <v>923.89</v>
      </c>
      <c r="AE23" s="126">
        <f t="shared" si="11"/>
        <v>4456.09</v>
      </c>
      <c r="AF23" s="127">
        <v>4456</v>
      </c>
      <c r="AG23" s="114">
        <v>4.3499999999999996</v>
      </c>
      <c r="AH23" s="123">
        <v>77619</v>
      </c>
      <c r="AI23" s="129">
        <f t="shared" si="12"/>
        <v>582</v>
      </c>
      <c r="AJ23" s="125">
        <f t="shared" si="52"/>
        <v>2531.6999999999998</v>
      </c>
      <c r="AK23" s="114">
        <v>2.27</v>
      </c>
      <c r="AL23" s="123">
        <v>37779</v>
      </c>
      <c r="AM23" s="129">
        <f t="shared" si="13"/>
        <v>293</v>
      </c>
      <c r="AN23" s="125">
        <f t="shared" si="53"/>
        <v>665.11</v>
      </c>
      <c r="AO23" s="131">
        <f t="shared" si="14"/>
        <v>3196.81</v>
      </c>
      <c r="AP23" s="127">
        <v>3197</v>
      </c>
      <c r="AQ23" s="114">
        <v>4.3499999999999996</v>
      </c>
      <c r="AR23" s="123">
        <v>77869</v>
      </c>
      <c r="AS23" s="130">
        <f t="shared" si="15"/>
        <v>250</v>
      </c>
      <c r="AT23" s="125">
        <f t="shared" si="16"/>
        <v>1087.5</v>
      </c>
      <c r="AU23" s="114">
        <v>2.27</v>
      </c>
      <c r="AV23" s="123">
        <v>37865</v>
      </c>
      <c r="AW23" s="130">
        <f t="shared" si="17"/>
        <v>86</v>
      </c>
      <c r="AX23" s="125">
        <f t="shared" si="18"/>
        <v>195.22</v>
      </c>
      <c r="AY23" s="131">
        <f t="shared" si="19"/>
        <v>1282.72</v>
      </c>
      <c r="AZ23" s="127">
        <v>1283</v>
      </c>
      <c r="BA23" s="114">
        <v>4.3499999999999996</v>
      </c>
      <c r="BB23" s="123">
        <v>77997</v>
      </c>
      <c r="BC23" s="130">
        <f t="shared" si="20"/>
        <v>128</v>
      </c>
      <c r="BD23" s="125">
        <f t="shared" si="21"/>
        <v>556.79999999999995</v>
      </c>
      <c r="BE23" s="114">
        <v>2.27</v>
      </c>
      <c r="BF23" s="123">
        <v>37902</v>
      </c>
      <c r="BG23" s="130">
        <f t="shared" si="22"/>
        <v>37</v>
      </c>
      <c r="BH23" s="125">
        <f t="shared" si="23"/>
        <v>83.99</v>
      </c>
      <c r="BI23" s="131">
        <f t="shared" si="24"/>
        <v>640.79</v>
      </c>
      <c r="BJ23" s="127">
        <v>641</v>
      </c>
      <c r="BK23" s="114">
        <v>4.49</v>
      </c>
      <c r="BL23" s="123">
        <v>78125</v>
      </c>
      <c r="BM23" s="130">
        <f t="shared" si="25"/>
        <v>128</v>
      </c>
      <c r="BN23" s="125">
        <f t="shared" si="26"/>
        <v>574.72</v>
      </c>
      <c r="BO23" s="114">
        <v>2.4300000000000002</v>
      </c>
      <c r="BP23" s="123">
        <v>37939</v>
      </c>
      <c r="BQ23" s="130">
        <f t="shared" si="27"/>
        <v>37</v>
      </c>
      <c r="BR23" s="125">
        <f t="shared" si="28"/>
        <v>89.910000000000011</v>
      </c>
      <c r="BS23" s="131">
        <f t="shared" si="29"/>
        <v>664.63</v>
      </c>
      <c r="BT23" s="127">
        <v>665</v>
      </c>
      <c r="BU23" s="114">
        <v>4.49</v>
      </c>
      <c r="BV23" s="123">
        <v>78442</v>
      </c>
      <c r="BW23" s="130">
        <f t="shared" si="30"/>
        <v>317</v>
      </c>
      <c r="BX23" s="125">
        <f t="shared" si="31"/>
        <v>1423.3300000000002</v>
      </c>
      <c r="BY23" s="114">
        <v>2.4300000000000002</v>
      </c>
      <c r="BZ23" s="123">
        <v>38031</v>
      </c>
      <c r="CA23" s="130">
        <f t="shared" si="32"/>
        <v>92</v>
      </c>
      <c r="CB23" s="125">
        <f t="shared" si="33"/>
        <v>223.56</v>
      </c>
      <c r="CC23" s="131">
        <f t="shared" si="34"/>
        <v>1646.89</v>
      </c>
      <c r="CD23" s="127">
        <v>1647</v>
      </c>
      <c r="CE23" s="114">
        <v>4.49</v>
      </c>
      <c r="CF23" s="123">
        <v>78573</v>
      </c>
      <c r="CG23" s="129">
        <f t="shared" si="35"/>
        <v>131</v>
      </c>
      <c r="CH23" s="125">
        <f t="shared" si="49"/>
        <v>588.19000000000005</v>
      </c>
      <c r="CI23" s="114">
        <v>2.4300000000000002</v>
      </c>
      <c r="CJ23" s="123">
        <v>38076</v>
      </c>
      <c r="CK23" s="129">
        <f t="shared" si="36"/>
        <v>45</v>
      </c>
      <c r="CL23" s="125">
        <f t="shared" si="37"/>
        <v>109.35000000000001</v>
      </c>
      <c r="CM23" s="127">
        <f t="shared" si="38"/>
        <v>697.54000000000008</v>
      </c>
      <c r="CN23" s="127">
        <v>698</v>
      </c>
      <c r="CO23" s="114">
        <v>4.49</v>
      </c>
      <c r="CP23" s="123">
        <v>78633</v>
      </c>
      <c r="CQ23" s="130">
        <f t="shared" si="39"/>
        <v>60</v>
      </c>
      <c r="CR23" s="125">
        <f t="shared" si="40"/>
        <v>269.40000000000003</v>
      </c>
      <c r="CS23" s="114">
        <v>2.4300000000000002</v>
      </c>
      <c r="CT23" s="123">
        <v>38104</v>
      </c>
      <c r="CU23" s="130">
        <f t="shared" si="41"/>
        <v>28</v>
      </c>
      <c r="CV23" s="125">
        <f t="shared" si="50"/>
        <v>68.040000000000006</v>
      </c>
      <c r="CW23" s="131">
        <f t="shared" si="42"/>
        <v>337.44000000000005</v>
      </c>
      <c r="CX23" s="127">
        <v>337</v>
      </c>
      <c r="CY23" s="114">
        <v>4.49</v>
      </c>
      <c r="CZ23" s="123">
        <v>79499</v>
      </c>
      <c r="DA23" s="130">
        <f t="shared" si="43"/>
        <v>866</v>
      </c>
      <c r="DB23" s="132">
        <f t="shared" si="44"/>
        <v>3888.34</v>
      </c>
      <c r="DC23" s="114">
        <v>2.4300000000000002</v>
      </c>
      <c r="DD23" s="123">
        <v>38529</v>
      </c>
      <c r="DE23" s="130">
        <f t="shared" si="45"/>
        <v>425</v>
      </c>
      <c r="DF23" s="132">
        <f t="shared" si="46"/>
        <v>1032.75</v>
      </c>
      <c r="DG23" s="133">
        <f t="shared" si="47"/>
        <v>4921.09</v>
      </c>
      <c r="DH23" s="131"/>
      <c r="DI23" s="114">
        <v>4.49</v>
      </c>
      <c r="DJ23" s="130"/>
      <c r="DK23" s="130"/>
      <c r="DL23" s="132"/>
      <c r="DM23" s="114">
        <v>2.4300000000000002</v>
      </c>
      <c r="DN23" s="130"/>
      <c r="DO23" s="130"/>
      <c r="DP23" s="132"/>
      <c r="DQ23" s="131">
        <f t="shared" si="48"/>
        <v>0</v>
      </c>
      <c r="DR23" s="131"/>
      <c r="DS23" s="134"/>
      <c r="DT23" s="135"/>
      <c r="DU23" s="26"/>
    </row>
    <row r="24" spans="1:125" ht="12.75" customHeight="1">
      <c r="A24" s="82" t="s">
        <v>179</v>
      </c>
      <c r="B24" s="136" t="s">
        <v>180</v>
      </c>
      <c r="C24" s="114">
        <v>4.3499999999999996</v>
      </c>
      <c r="D24" s="137">
        <v>66484</v>
      </c>
      <c r="E24" s="130">
        <f>D24-62739</f>
        <v>3745</v>
      </c>
      <c r="F24" s="125">
        <f t="shared" si="0"/>
        <v>16290.749999999998</v>
      </c>
      <c r="G24" s="114">
        <v>2.27</v>
      </c>
      <c r="H24" s="137">
        <v>28810</v>
      </c>
      <c r="I24" s="130">
        <f>H24-26902</f>
        <v>1908</v>
      </c>
      <c r="J24" s="125">
        <f t="shared" si="1"/>
        <v>4331.16</v>
      </c>
      <c r="K24" s="126">
        <f t="shared" si="51"/>
        <v>20621.909999999996</v>
      </c>
      <c r="L24" s="127">
        <v>20622</v>
      </c>
      <c r="M24" s="114">
        <v>4.3499999999999996</v>
      </c>
      <c r="N24" s="139">
        <v>67843</v>
      </c>
      <c r="O24" s="129">
        <f t="shared" si="2"/>
        <v>1359</v>
      </c>
      <c r="P24" s="125">
        <f t="shared" si="3"/>
        <v>5911.65</v>
      </c>
      <c r="Q24" s="114">
        <v>2.27</v>
      </c>
      <c r="R24" s="143">
        <v>29521</v>
      </c>
      <c r="S24" s="129">
        <f t="shared" si="4"/>
        <v>711</v>
      </c>
      <c r="T24" s="125">
        <f t="shared" si="5"/>
        <v>1613.97</v>
      </c>
      <c r="U24" s="126">
        <f t="shared" si="6"/>
        <v>7525.62</v>
      </c>
      <c r="V24" s="127">
        <v>7526</v>
      </c>
      <c r="W24" s="114">
        <v>4.3499999999999996</v>
      </c>
      <c r="X24" s="123">
        <v>69657</v>
      </c>
      <c r="Y24" s="130">
        <f t="shared" si="7"/>
        <v>1814</v>
      </c>
      <c r="Z24" s="125">
        <f t="shared" si="8"/>
        <v>7890.9</v>
      </c>
      <c r="AA24" s="114">
        <v>2.27</v>
      </c>
      <c r="AB24" s="123">
        <v>30502</v>
      </c>
      <c r="AC24" s="130">
        <f t="shared" si="9"/>
        <v>981</v>
      </c>
      <c r="AD24" s="125">
        <f t="shared" si="10"/>
        <v>2226.87</v>
      </c>
      <c r="AE24" s="126">
        <f t="shared" si="11"/>
        <v>10117.77</v>
      </c>
      <c r="AF24" s="127">
        <v>10118</v>
      </c>
      <c r="AG24" s="114">
        <v>4.3499999999999996</v>
      </c>
      <c r="AH24" s="123">
        <v>70839</v>
      </c>
      <c r="AI24" s="129">
        <f t="shared" si="12"/>
        <v>1182</v>
      </c>
      <c r="AJ24" s="125">
        <f t="shared" si="52"/>
        <v>5141.7</v>
      </c>
      <c r="AK24" s="114">
        <v>2.27</v>
      </c>
      <c r="AL24" s="123">
        <v>31047</v>
      </c>
      <c r="AM24" s="129">
        <f t="shared" si="13"/>
        <v>545</v>
      </c>
      <c r="AN24" s="125">
        <f t="shared" si="53"/>
        <v>1237.1500000000001</v>
      </c>
      <c r="AO24" s="131">
        <f t="shared" si="14"/>
        <v>6378.85</v>
      </c>
      <c r="AP24" s="127">
        <v>6379</v>
      </c>
      <c r="AQ24" s="114">
        <v>4.3499999999999996</v>
      </c>
      <c r="AR24" s="123">
        <v>72171</v>
      </c>
      <c r="AS24" s="130">
        <f t="shared" si="15"/>
        <v>1332</v>
      </c>
      <c r="AT24" s="125">
        <f t="shared" si="16"/>
        <v>5794.2</v>
      </c>
      <c r="AU24" s="114">
        <v>2.27</v>
      </c>
      <c r="AV24" s="123">
        <v>31411</v>
      </c>
      <c r="AW24" s="130">
        <f t="shared" si="17"/>
        <v>364</v>
      </c>
      <c r="AX24" s="125">
        <f t="shared" si="18"/>
        <v>826.28</v>
      </c>
      <c r="AY24" s="131">
        <f t="shared" si="19"/>
        <v>6620.48</v>
      </c>
      <c r="AZ24" s="127">
        <v>6620</v>
      </c>
      <c r="BA24" s="114">
        <v>4.3499999999999996</v>
      </c>
      <c r="BB24" s="123">
        <v>72717</v>
      </c>
      <c r="BC24" s="130">
        <f t="shared" si="20"/>
        <v>546</v>
      </c>
      <c r="BD24" s="125">
        <f t="shared" si="21"/>
        <v>2375.1</v>
      </c>
      <c r="BE24" s="114">
        <v>2.27</v>
      </c>
      <c r="BF24" s="123">
        <v>31683</v>
      </c>
      <c r="BG24" s="130">
        <f t="shared" si="22"/>
        <v>272</v>
      </c>
      <c r="BH24" s="125">
        <f t="shared" si="23"/>
        <v>617.44000000000005</v>
      </c>
      <c r="BI24" s="131">
        <f t="shared" si="24"/>
        <v>2992.54</v>
      </c>
      <c r="BJ24" s="127">
        <v>2993</v>
      </c>
      <c r="BK24" s="114">
        <v>4.49</v>
      </c>
      <c r="BL24" s="123">
        <v>73304</v>
      </c>
      <c r="BM24" s="130">
        <f t="shared" si="25"/>
        <v>587</v>
      </c>
      <c r="BN24" s="125">
        <f t="shared" si="26"/>
        <v>2635.63</v>
      </c>
      <c r="BO24" s="114">
        <v>2.4300000000000002</v>
      </c>
      <c r="BP24" s="123">
        <v>32026</v>
      </c>
      <c r="BQ24" s="130">
        <f t="shared" si="27"/>
        <v>343</v>
      </c>
      <c r="BR24" s="125">
        <f t="shared" si="28"/>
        <v>833.49</v>
      </c>
      <c r="BS24" s="131">
        <f t="shared" si="29"/>
        <v>3469.12</v>
      </c>
      <c r="BT24" s="127">
        <v>3469</v>
      </c>
      <c r="BU24" s="114">
        <v>4.49</v>
      </c>
      <c r="BV24" s="123">
        <v>73929</v>
      </c>
      <c r="BW24" s="130">
        <f t="shared" si="30"/>
        <v>625</v>
      </c>
      <c r="BX24" s="125">
        <f t="shared" si="31"/>
        <v>2806.25</v>
      </c>
      <c r="BY24" s="114">
        <v>2.4300000000000002</v>
      </c>
      <c r="BZ24" s="123">
        <v>32309</v>
      </c>
      <c r="CA24" s="130">
        <f t="shared" si="32"/>
        <v>283</v>
      </c>
      <c r="CB24" s="125">
        <f t="shared" si="33"/>
        <v>687.69</v>
      </c>
      <c r="CC24" s="131">
        <f t="shared" si="34"/>
        <v>3493.94</v>
      </c>
      <c r="CD24" s="127">
        <v>3494</v>
      </c>
      <c r="CE24" s="114">
        <v>4.49</v>
      </c>
      <c r="CF24" s="123">
        <v>75009</v>
      </c>
      <c r="CG24" s="129">
        <f t="shared" si="35"/>
        <v>1080</v>
      </c>
      <c r="CH24" s="125">
        <f t="shared" si="49"/>
        <v>4849.2</v>
      </c>
      <c r="CI24" s="114">
        <v>2.4300000000000002</v>
      </c>
      <c r="CJ24" s="123">
        <v>32931</v>
      </c>
      <c r="CK24" s="129">
        <f t="shared" si="36"/>
        <v>622</v>
      </c>
      <c r="CL24" s="125">
        <f t="shared" si="37"/>
        <v>1511.46</v>
      </c>
      <c r="CM24" s="127">
        <f t="shared" si="38"/>
        <v>6360.66</v>
      </c>
      <c r="CN24" s="127">
        <v>6361</v>
      </c>
      <c r="CO24" s="114">
        <v>4.49</v>
      </c>
      <c r="CP24" s="123">
        <v>76362</v>
      </c>
      <c r="CQ24" s="130">
        <f t="shared" si="39"/>
        <v>1353</v>
      </c>
      <c r="CR24" s="125">
        <f t="shared" si="40"/>
        <v>6074.97</v>
      </c>
      <c r="CS24" s="114">
        <v>2.4300000000000002</v>
      </c>
      <c r="CT24" s="123">
        <v>33745</v>
      </c>
      <c r="CU24" s="130">
        <f t="shared" si="41"/>
        <v>814</v>
      </c>
      <c r="CV24" s="125">
        <f t="shared" si="50"/>
        <v>1978.0200000000002</v>
      </c>
      <c r="CW24" s="131">
        <f t="shared" si="42"/>
        <v>8052.9900000000007</v>
      </c>
      <c r="CX24" s="127">
        <v>8053</v>
      </c>
      <c r="CY24" s="114">
        <v>4.49</v>
      </c>
      <c r="CZ24" s="123">
        <v>78206</v>
      </c>
      <c r="DA24" s="130">
        <f t="shared" si="43"/>
        <v>1844</v>
      </c>
      <c r="DB24" s="132">
        <f t="shared" si="44"/>
        <v>8279.56</v>
      </c>
      <c r="DC24" s="114">
        <v>2.4300000000000002</v>
      </c>
      <c r="DD24" s="123">
        <v>34844</v>
      </c>
      <c r="DE24" s="130">
        <f t="shared" si="45"/>
        <v>1099</v>
      </c>
      <c r="DF24" s="132">
        <f t="shared" si="46"/>
        <v>2670.57</v>
      </c>
      <c r="DG24" s="133">
        <f t="shared" si="47"/>
        <v>10950.13</v>
      </c>
      <c r="DH24" s="131"/>
      <c r="DI24" s="114">
        <v>4.49</v>
      </c>
      <c r="DJ24" s="130"/>
      <c r="DK24" s="130"/>
      <c r="DL24" s="132"/>
      <c r="DM24" s="114">
        <v>2.4300000000000002</v>
      </c>
      <c r="DN24" s="130"/>
      <c r="DO24" s="130"/>
      <c r="DP24" s="132"/>
      <c r="DQ24" s="131">
        <f t="shared" si="48"/>
        <v>0</v>
      </c>
      <c r="DR24" s="131"/>
      <c r="DS24" s="134"/>
      <c r="DT24" s="135"/>
      <c r="DU24" s="26"/>
    </row>
    <row r="25" spans="1:125" ht="12.75" customHeight="1">
      <c r="A25" s="82" t="s">
        <v>181</v>
      </c>
      <c r="B25" s="136" t="s">
        <v>182</v>
      </c>
      <c r="C25" s="114">
        <v>4.3499999999999996</v>
      </c>
      <c r="D25" s="137">
        <v>8155</v>
      </c>
      <c r="E25" s="130">
        <f>D25-5328</f>
        <v>2827</v>
      </c>
      <c r="F25" s="125">
        <f t="shared" si="0"/>
        <v>12297.449999999999</v>
      </c>
      <c r="G25" s="114">
        <v>2.27</v>
      </c>
      <c r="H25" s="137">
        <v>4296</v>
      </c>
      <c r="I25" s="130">
        <f>H25-2779</f>
        <v>1517</v>
      </c>
      <c r="J25" s="125">
        <f t="shared" si="1"/>
        <v>3443.59</v>
      </c>
      <c r="K25" s="126">
        <f t="shared" si="51"/>
        <v>15741.039999999999</v>
      </c>
      <c r="L25" s="127">
        <v>15741</v>
      </c>
      <c r="M25" s="114">
        <v>4.3499999999999996</v>
      </c>
      <c r="N25" s="139">
        <v>9014</v>
      </c>
      <c r="O25" s="129">
        <f t="shared" si="2"/>
        <v>859</v>
      </c>
      <c r="P25" s="125">
        <f t="shared" si="3"/>
        <v>3736.6499999999996</v>
      </c>
      <c r="Q25" s="114">
        <v>2.27</v>
      </c>
      <c r="R25" s="140">
        <v>4781</v>
      </c>
      <c r="S25" s="129">
        <f t="shared" si="4"/>
        <v>485</v>
      </c>
      <c r="T25" s="125">
        <f t="shared" si="5"/>
        <v>1100.95</v>
      </c>
      <c r="U25" s="126">
        <f t="shared" si="6"/>
        <v>4837.5999999999995</v>
      </c>
      <c r="V25" s="127">
        <v>4838</v>
      </c>
      <c r="W25" s="114">
        <v>4.3499999999999996</v>
      </c>
      <c r="X25" s="123">
        <v>9611</v>
      </c>
      <c r="Y25" s="130">
        <f t="shared" si="7"/>
        <v>597</v>
      </c>
      <c r="Z25" s="125">
        <f t="shared" si="8"/>
        <v>2596.9499999999998</v>
      </c>
      <c r="AA25" s="114">
        <v>2.27</v>
      </c>
      <c r="AB25" s="123">
        <v>5172</v>
      </c>
      <c r="AC25" s="130">
        <f t="shared" si="9"/>
        <v>391</v>
      </c>
      <c r="AD25" s="125">
        <f t="shared" si="10"/>
        <v>887.57</v>
      </c>
      <c r="AE25" s="126">
        <f t="shared" si="11"/>
        <v>3484.52</v>
      </c>
      <c r="AF25" s="127">
        <v>3485</v>
      </c>
      <c r="AG25" s="114">
        <v>4.3499999999999996</v>
      </c>
      <c r="AH25" s="123">
        <v>10035</v>
      </c>
      <c r="AI25" s="129">
        <f t="shared" si="12"/>
        <v>424</v>
      </c>
      <c r="AJ25" s="125">
        <f t="shared" si="52"/>
        <v>1844.3999999999999</v>
      </c>
      <c r="AK25" s="114">
        <v>2.27</v>
      </c>
      <c r="AL25" s="123">
        <v>5425</v>
      </c>
      <c r="AM25" s="129">
        <f t="shared" si="13"/>
        <v>253</v>
      </c>
      <c r="AN25" s="125">
        <f t="shared" si="53"/>
        <v>574.31000000000006</v>
      </c>
      <c r="AO25" s="131">
        <f t="shared" si="14"/>
        <v>2418.71</v>
      </c>
      <c r="AP25" s="127">
        <v>2419</v>
      </c>
      <c r="AQ25" s="114">
        <v>4.3499999999999996</v>
      </c>
      <c r="AR25" s="123">
        <v>10169</v>
      </c>
      <c r="AS25" s="130">
        <f t="shared" si="15"/>
        <v>134</v>
      </c>
      <c r="AT25" s="125">
        <f t="shared" si="16"/>
        <v>582.9</v>
      </c>
      <c r="AU25" s="114">
        <v>2.27</v>
      </c>
      <c r="AV25" s="123">
        <v>5478</v>
      </c>
      <c r="AW25" s="130">
        <f t="shared" si="17"/>
        <v>53</v>
      </c>
      <c r="AX25" s="125">
        <f t="shared" si="18"/>
        <v>120.31</v>
      </c>
      <c r="AY25" s="131">
        <f t="shared" si="19"/>
        <v>703.21</v>
      </c>
      <c r="AZ25" s="127">
        <v>703</v>
      </c>
      <c r="BA25" s="114">
        <v>4.3499999999999996</v>
      </c>
      <c r="BB25" s="123">
        <v>10325</v>
      </c>
      <c r="BC25" s="130">
        <f t="shared" si="20"/>
        <v>156</v>
      </c>
      <c r="BD25" s="125">
        <f t="shared" si="21"/>
        <v>678.59999999999991</v>
      </c>
      <c r="BE25" s="114">
        <v>2.27</v>
      </c>
      <c r="BF25" s="123">
        <v>5534</v>
      </c>
      <c r="BG25" s="130">
        <f t="shared" si="22"/>
        <v>56</v>
      </c>
      <c r="BH25" s="125">
        <f t="shared" si="23"/>
        <v>127.12</v>
      </c>
      <c r="BI25" s="131">
        <f t="shared" si="24"/>
        <v>805.71999999999991</v>
      </c>
      <c r="BJ25" s="127">
        <v>806</v>
      </c>
      <c r="BK25" s="114">
        <v>4.49</v>
      </c>
      <c r="BL25" s="123">
        <v>10464</v>
      </c>
      <c r="BM25" s="130">
        <f t="shared" si="25"/>
        <v>139</v>
      </c>
      <c r="BN25" s="125">
        <f t="shared" si="26"/>
        <v>624.11</v>
      </c>
      <c r="BO25" s="114">
        <v>2.4300000000000002</v>
      </c>
      <c r="BP25" s="123">
        <v>5579</v>
      </c>
      <c r="BQ25" s="130">
        <f t="shared" si="27"/>
        <v>45</v>
      </c>
      <c r="BR25" s="125">
        <f t="shared" si="28"/>
        <v>109.35000000000001</v>
      </c>
      <c r="BS25" s="131">
        <f t="shared" si="29"/>
        <v>733.46</v>
      </c>
      <c r="BT25" s="127">
        <v>733</v>
      </c>
      <c r="BU25" s="114">
        <v>4.49</v>
      </c>
      <c r="BV25" s="123">
        <v>10559</v>
      </c>
      <c r="BW25" s="130">
        <f t="shared" si="30"/>
        <v>95</v>
      </c>
      <c r="BX25" s="125">
        <f t="shared" si="31"/>
        <v>426.55</v>
      </c>
      <c r="BY25" s="114">
        <v>2.4300000000000002</v>
      </c>
      <c r="BZ25" s="123">
        <v>5614</v>
      </c>
      <c r="CA25" s="130">
        <f t="shared" si="32"/>
        <v>35</v>
      </c>
      <c r="CB25" s="125">
        <f t="shared" si="33"/>
        <v>85.050000000000011</v>
      </c>
      <c r="CC25" s="131">
        <f t="shared" si="34"/>
        <v>511.6</v>
      </c>
      <c r="CD25" s="127">
        <v>512</v>
      </c>
      <c r="CE25" s="114">
        <v>4.49</v>
      </c>
      <c r="CF25" s="123">
        <v>10794</v>
      </c>
      <c r="CG25" s="129">
        <f t="shared" si="35"/>
        <v>235</v>
      </c>
      <c r="CH25" s="125">
        <f t="shared" si="49"/>
        <v>1055.1500000000001</v>
      </c>
      <c r="CI25" s="114">
        <v>2.4300000000000002</v>
      </c>
      <c r="CJ25" s="123">
        <v>5712</v>
      </c>
      <c r="CK25" s="129">
        <f t="shared" si="36"/>
        <v>98</v>
      </c>
      <c r="CL25" s="125">
        <f t="shared" si="37"/>
        <v>238.14000000000001</v>
      </c>
      <c r="CM25" s="127">
        <f t="shared" si="38"/>
        <v>1293.2900000000002</v>
      </c>
      <c r="CN25" s="127">
        <v>1293</v>
      </c>
      <c r="CO25" s="114">
        <v>4.49</v>
      </c>
      <c r="CP25" s="123">
        <v>11403</v>
      </c>
      <c r="CQ25" s="130">
        <f t="shared" si="39"/>
        <v>609</v>
      </c>
      <c r="CR25" s="125">
        <f t="shared" si="40"/>
        <v>2734.4100000000003</v>
      </c>
      <c r="CS25" s="114">
        <v>2.4300000000000002</v>
      </c>
      <c r="CT25" s="123">
        <v>6106</v>
      </c>
      <c r="CU25" s="130">
        <f t="shared" si="41"/>
        <v>394</v>
      </c>
      <c r="CV25" s="125">
        <f t="shared" si="50"/>
        <v>957.42000000000007</v>
      </c>
      <c r="CW25" s="131">
        <f t="shared" si="42"/>
        <v>3691.8300000000004</v>
      </c>
      <c r="CX25" s="127">
        <v>3692</v>
      </c>
      <c r="CY25" s="114">
        <v>4.49</v>
      </c>
      <c r="CZ25" s="123">
        <v>12202</v>
      </c>
      <c r="DA25" s="130">
        <f t="shared" si="43"/>
        <v>799</v>
      </c>
      <c r="DB25" s="132">
        <f t="shared" si="44"/>
        <v>3587.51</v>
      </c>
      <c r="DC25" s="114">
        <v>2.4300000000000002</v>
      </c>
      <c r="DD25" s="123">
        <v>6549</v>
      </c>
      <c r="DE25" s="130">
        <f t="shared" si="45"/>
        <v>443</v>
      </c>
      <c r="DF25" s="132">
        <f t="shared" si="46"/>
        <v>1076.49</v>
      </c>
      <c r="DG25" s="133">
        <f t="shared" si="47"/>
        <v>4664</v>
      </c>
      <c r="DH25" s="131"/>
      <c r="DI25" s="114">
        <v>4.49</v>
      </c>
      <c r="DJ25" s="130"/>
      <c r="DK25" s="130"/>
      <c r="DL25" s="132"/>
      <c r="DM25" s="114">
        <v>2.4300000000000002</v>
      </c>
      <c r="DN25" s="130"/>
      <c r="DO25" s="130"/>
      <c r="DP25" s="132"/>
      <c r="DQ25" s="131">
        <f t="shared" si="48"/>
        <v>0</v>
      </c>
      <c r="DR25" s="131"/>
      <c r="DS25" s="134"/>
      <c r="DT25" s="135"/>
      <c r="DU25" s="26"/>
    </row>
    <row r="26" spans="1:125" ht="12.75" customHeight="1">
      <c r="A26" s="82" t="s">
        <v>183</v>
      </c>
      <c r="B26" s="30" t="s">
        <v>184</v>
      </c>
      <c r="C26" s="114">
        <v>4.3499999999999996</v>
      </c>
      <c r="D26" s="137">
        <v>375</v>
      </c>
      <c r="E26" s="130">
        <f>D26-375</f>
        <v>0</v>
      </c>
      <c r="F26" s="125">
        <f t="shared" si="0"/>
        <v>0</v>
      </c>
      <c r="G26" s="114">
        <v>2.27</v>
      </c>
      <c r="H26" s="137">
        <v>149</v>
      </c>
      <c r="I26" s="130">
        <f>H26-149</f>
        <v>0</v>
      </c>
      <c r="J26" s="125">
        <f t="shared" si="1"/>
        <v>0</v>
      </c>
      <c r="K26" s="126">
        <f t="shared" si="51"/>
        <v>0</v>
      </c>
      <c r="L26" s="127">
        <v>0</v>
      </c>
      <c r="M26" s="114">
        <v>4.3499999999999996</v>
      </c>
      <c r="N26" s="139">
        <v>375</v>
      </c>
      <c r="O26" s="129">
        <f t="shared" si="2"/>
        <v>0</v>
      </c>
      <c r="P26" s="125">
        <f t="shared" si="3"/>
        <v>0</v>
      </c>
      <c r="Q26" s="114">
        <v>2.27</v>
      </c>
      <c r="R26" s="140">
        <v>149</v>
      </c>
      <c r="S26" s="129">
        <f t="shared" si="4"/>
        <v>0</v>
      </c>
      <c r="T26" s="125">
        <f t="shared" si="5"/>
        <v>0</v>
      </c>
      <c r="U26" s="126">
        <f t="shared" si="6"/>
        <v>0</v>
      </c>
      <c r="V26" s="127">
        <v>0</v>
      </c>
      <c r="W26" s="114">
        <v>4.3499999999999996</v>
      </c>
      <c r="X26" s="123">
        <v>375</v>
      </c>
      <c r="Y26" s="130">
        <f t="shared" si="7"/>
        <v>0</v>
      </c>
      <c r="Z26" s="125">
        <f t="shared" si="8"/>
        <v>0</v>
      </c>
      <c r="AA26" s="114">
        <v>2.27</v>
      </c>
      <c r="AB26" s="123">
        <v>149</v>
      </c>
      <c r="AC26" s="130">
        <f t="shared" si="9"/>
        <v>0</v>
      </c>
      <c r="AD26" s="125">
        <f t="shared" si="10"/>
        <v>0</v>
      </c>
      <c r="AE26" s="126">
        <f t="shared" si="11"/>
        <v>0</v>
      </c>
      <c r="AF26" s="127">
        <v>0</v>
      </c>
      <c r="AG26" s="114">
        <v>4.3499999999999996</v>
      </c>
      <c r="AH26" s="123">
        <v>375</v>
      </c>
      <c r="AI26" s="129">
        <f t="shared" si="12"/>
        <v>0</v>
      </c>
      <c r="AJ26" s="125">
        <f t="shared" si="52"/>
        <v>0</v>
      </c>
      <c r="AK26" s="114">
        <v>2.27</v>
      </c>
      <c r="AL26" s="123">
        <v>149</v>
      </c>
      <c r="AM26" s="129">
        <f t="shared" si="13"/>
        <v>0</v>
      </c>
      <c r="AN26" s="125">
        <f t="shared" si="53"/>
        <v>0</v>
      </c>
      <c r="AO26" s="131">
        <f t="shared" si="14"/>
        <v>0</v>
      </c>
      <c r="AP26" s="127">
        <v>0</v>
      </c>
      <c r="AQ26" s="114">
        <v>4.3499999999999996</v>
      </c>
      <c r="AR26" s="123">
        <v>375</v>
      </c>
      <c r="AS26" s="130">
        <f t="shared" si="15"/>
        <v>0</v>
      </c>
      <c r="AT26" s="125">
        <f t="shared" si="16"/>
        <v>0</v>
      </c>
      <c r="AU26" s="114">
        <v>2.27</v>
      </c>
      <c r="AV26" s="123">
        <v>149</v>
      </c>
      <c r="AW26" s="130">
        <f t="shared" si="17"/>
        <v>0</v>
      </c>
      <c r="AX26" s="125">
        <f t="shared" si="18"/>
        <v>0</v>
      </c>
      <c r="AY26" s="131">
        <f t="shared" si="19"/>
        <v>0</v>
      </c>
      <c r="AZ26" s="127">
        <v>0</v>
      </c>
      <c r="BA26" s="114">
        <v>4.3499999999999996</v>
      </c>
      <c r="BB26" s="123">
        <v>375</v>
      </c>
      <c r="BC26" s="130">
        <f t="shared" si="20"/>
        <v>0</v>
      </c>
      <c r="BD26" s="125">
        <f t="shared" si="21"/>
        <v>0</v>
      </c>
      <c r="BE26" s="114">
        <v>2.27</v>
      </c>
      <c r="BF26" s="123">
        <v>149</v>
      </c>
      <c r="BG26" s="130">
        <f t="shared" si="22"/>
        <v>0</v>
      </c>
      <c r="BH26" s="125">
        <f t="shared" si="23"/>
        <v>0</v>
      </c>
      <c r="BI26" s="131">
        <f t="shared" si="24"/>
        <v>0</v>
      </c>
      <c r="BJ26" s="127">
        <v>0</v>
      </c>
      <c r="BK26" s="114">
        <v>4.49</v>
      </c>
      <c r="BL26" s="123">
        <v>375</v>
      </c>
      <c r="BM26" s="130">
        <f t="shared" si="25"/>
        <v>0</v>
      </c>
      <c r="BN26" s="125">
        <f t="shared" si="26"/>
        <v>0</v>
      </c>
      <c r="BO26" s="114">
        <v>2.4300000000000002</v>
      </c>
      <c r="BP26" s="123">
        <v>149</v>
      </c>
      <c r="BQ26" s="130">
        <f t="shared" si="27"/>
        <v>0</v>
      </c>
      <c r="BR26" s="125">
        <f t="shared" si="28"/>
        <v>0</v>
      </c>
      <c r="BS26" s="131">
        <f t="shared" si="29"/>
        <v>0</v>
      </c>
      <c r="BT26" s="127">
        <v>0</v>
      </c>
      <c r="BU26" s="114">
        <v>4.49</v>
      </c>
      <c r="BV26" s="123">
        <v>375</v>
      </c>
      <c r="BW26" s="130">
        <f t="shared" si="30"/>
        <v>0</v>
      </c>
      <c r="BX26" s="125">
        <f t="shared" si="31"/>
        <v>0</v>
      </c>
      <c r="BY26" s="114">
        <v>2.4300000000000002</v>
      </c>
      <c r="BZ26" s="123">
        <v>149</v>
      </c>
      <c r="CA26" s="130">
        <f t="shared" si="32"/>
        <v>0</v>
      </c>
      <c r="CB26" s="125">
        <f t="shared" si="33"/>
        <v>0</v>
      </c>
      <c r="CC26" s="131">
        <f t="shared" si="34"/>
        <v>0</v>
      </c>
      <c r="CD26" s="127">
        <v>0</v>
      </c>
      <c r="CE26" s="114">
        <v>4.49</v>
      </c>
      <c r="CF26" s="123">
        <v>375</v>
      </c>
      <c r="CG26" s="129">
        <f t="shared" si="35"/>
        <v>0</v>
      </c>
      <c r="CH26" s="125">
        <f t="shared" si="49"/>
        <v>0</v>
      </c>
      <c r="CI26" s="114">
        <v>2.4300000000000002</v>
      </c>
      <c r="CJ26" s="123">
        <v>149</v>
      </c>
      <c r="CK26" s="129">
        <f t="shared" si="36"/>
        <v>0</v>
      </c>
      <c r="CL26" s="125">
        <f t="shared" si="37"/>
        <v>0</v>
      </c>
      <c r="CM26" s="127">
        <f t="shared" si="38"/>
        <v>0</v>
      </c>
      <c r="CN26" s="127">
        <v>0</v>
      </c>
      <c r="CO26" s="114">
        <v>4.49</v>
      </c>
      <c r="CP26" s="123">
        <v>375</v>
      </c>
      <c r="CQ26" s="130">
        <f t="shared" si="39"/>
        <v>0</v>
      </c>
      <c r="CR26" s="125">
        <f t="shared" si="40"/>
        <v>0</v>
      </c>
      <c r="CS26" s="114">
        <v>2.4300000000000002</v>
      </c>
      <c r="CT26" s="123">
        <v>149</v>
      </c>
      <c r="CU26" s="130">
        <f t="shared" si="41"/>
        <v>0</v>
      </c>
      <c r="CV26" s="125">
        <f t="shared" si="50"/>
        <v>0</v>
      </c>
      <c r="CW26" s="131">
        <f t="shared" si="42"/>
        <v>0</v>
      </c>
      <c r="CX26" s="127">
        <v>0</v>
      </c>
      <c r="CY26" s="114">
        <v>4.49</v>
      </c>
      <c r="CZ26" s="123">
        <v>728</v>
      </c>
      <c r="DA26" s="130">
        <f t="shared" si="43"/>
        <v>353</v>
      </c>
      <c r="DB26" s="132">
        <f t="shared" si="44"/>
        <v>1584.97</v>
      </c>
      <c r="DC26" s="114">
        <v>2.4300000000000002</v>
      </c>
      <c r="DD26" s="123">
        <v>297</v>
      </c>
      <c r="DE26" s="130">
        <f t="shared" si="45"/>
        <v>148</v>
      </c>
      <c r="DF26" s="132">
        <f t="shared" si="46"/>
        <v>359.64000000000004</v>
      </c>
      <c r="DG26" s="133">
        <f t="shared" si="47"/>
        <v>1944.6100000000001</v>
      </c>
      <c r="DH26" s="131"/>
      <c r="DI26" s="114">
        <v>4.49</v>
      </c>
      <c r="DJ26" s="130"/>
      <c r="DK26" s="130"/>
      <c r="DL26" s="132"/>
      <c r="DM26" s="114">
        <v>2.4300000000000002</v>
      </c>
      <c r="DN26" s="130"/>
      <c r="DO26" s="130"/>
      <c r="DP26" s="132"/>
      <c r="DQ26" s="131">
        <f t="shared" si="48"/>
        <v>0</v>
      </c>
      <c r="DR26" s="131"/>
      <c r="DS26" s="134"/>
      <c r="DT26" s="135"/>
      <c r="DU26" s="26"/>
    </row>
    <row r="27" spans="1:125" ht="12.75" customHeight="1">
      <c r="A27" s="82" t="s">
        <v>185</v>
      </c>
      <c r="B27" s="30" t="s">
        <v>186</v>
      </c>
      <c r="C27" s="114">
        <v>4.3499999999999996</v>
      </c>
      <c r="D27" s="137">
        <v>59476</v>
      </c>
      <c r="E27" s="130">
        <f>D27-56894</f>
        <v>2582</v>
      </c>
      <c r="F27" s="125">
        <f t="shared" si="0"/>
        <v>11231.699999999999</v>
      </c>
      <c r="G27" s="114">
        <v>2.27</v>
      </c>
      <c r="H27" s="137">
        <v>31790</v>
      </c>
      <c r="I27" s="130">
        <f>H27-30395</f>
        <v>1395</v>
      </c>
      <c r="J27" s="125">
        <f t="shared" si="1"/>
        <v>3166.65</v>
      </c>
      <c r="K27" s="126">
        <f t="shared" si="51"/>
        <v>14398.349999999999</v>
      </c>
      <c r="L27" s="144">
        <v>14398</v>
      </c>
      <c r="M27" s="114">
        <v>4.3499999999999996</v>
      </c>
      <c r="N27" s="139">
        <v>61111</v>
      </c>
      <c r="O27" s="129">
        <f t="shared" si="2"/>
        <v>1635</v>
      </c>
      <c r="P27" s="125">
        <f t="shared" si="3"/>
        <v>7112.2499999999991</v>
      </c>
      <c r="Q27" s="114">
        <v>2.27</v>
      </c>
      <c r="R27" s="140">
        <v>32617</v>
      </c>
      <c r="S27" s="129">
        <f t="shared" si="4"/>
        <v>827</v>
      </c>
      <c r="T27" s="125">
        <f t="shared" si="5"/>
        <v>1877.29</v>
      </c>
      <c r="U27" s="126">
        <f t="shared" si="6"/>
        <v>8989.5399999999991</v>
      </c>
      <c r="V27" s="127">
        <v>8990</v>
      </c>
      <c r="W27" s="114">
        <v>4.3499999999999996</v>
      </c>
      <c r="X27" s="123">
        <v>62797</v>
      </c>
      <c r="Y27" s="130">
        <f t="shared" si="7"/>
        <v>1686</v>
      </c>
      <c r="Z27" s="125">
        <f t="shared" si="8"/>
        <v>7334.0999999999995</v>
      </c>
      <c r="AA27" s="114">
        <v>2.27</v>
      </c>
      <c r="AB27" s="123">
        <v>33428</v>
      </c>
      <c r="AC27" s="130">
        <f t="shared" si="9"/>
        <v>811</v>
      </c>
      <c r="AD27" s="125">
        <f t="shared" si="10"/>
        <v>1840.97</v>
      </c>
      <c r="AE27" s="126">
        <f t="shared" si="11"/>
        <v>9175.07</v>
      </c>
      <c r="AF27" s="127">
        <v>9175</v>
      </c>
      <c r="AG27" s="114">
        <v>4.3499999999999996</v>
      </c>
      <c r="AH27" s="123">
        <v>63718</v>
      </c>
      <c r="AI27" s="129">
        <f t="shared" si="12"/>
        <v>921</v>
      </c>
      <c r="AJ27" s="125">
        <f t="shared" si="52"/>
        <v>4006.3499999999995</v>
      </c>
      <c r="AK27" s="114">
        <v>2.27</v>
      </c>
      <c r="AL27" s="123">
        <v>33956</v>
      </c>
      <c r="AM27" s="129">
        <f t="shared" si="13"/>
        <v>528</v>
      </c>
      <c r="AN27" s="125">
        <f t="shared" si="53"/>
        <v>1198.56</v>
      </c>
      <c r="AO27" s="131">
        <f t="shared" si="14"/>
        <v>5204.91</v>
      </c>
      <c r="AP27" s="127">
        <v>5205</v>
      </c>
      <c r="AQ27" s="114">
        <v>4.3499999999999996</v>
      </c>
      <c r="AR27" s="123">
        <v>64665</v>
      </c>
      <c r="AS27" s="130">
        <f t="shared" si="15"/>
        <v>947</v>
      </c>
      <c r="AT27" s="125">
        <f t="shared" si="16"/>
        <v>4119.45</v>
      </c>
      <c r="AU27" s="114">
        <v>2.27</v>
      </c>
      <c r="AV27" s="123">
        <v>34432</v>
      </c>
      <c r="AW27" s="130">
        <f t="shared" si="17"/>
        <v>476</v>
      </c>
      <c r="AX27" s="125">
        <f t="shared" si="18"/>
        <v>1080.52</v>
      </c>
      <c r="AY27" s="131">
        <f t="shared" si="19"/>
        <v>5199.9699999999993</v>
      </c>
      <c r="AZ27" s="127">
        <v>5200</v>
      </c>
      <c r="BA27" s="114">
        <v>4.3499999999999996</v>
      </c>
      <c r="BB27" s="123">
        <v>64897</v>
      </c>
      <c r="BC27" s="130">
        <f t="shared" si="20"/>
        <v>232</v>
      </c>
      <c r="BD27" s="125">
        <f t="shared" si="21"/>
        <v>1009.1999999999999</v>
      </c>
      <c r="BE27" s="114">
        <v>2.27</v>
      </c>
      <c r="BF27" s="123">
        <v>34576</v>
      </c>
      <c r="BG27" s="130">
        <f t="shared" si="22"/>
        <v>144</v>
      </c>
      <c r="BH27" s="125">
        <f t="shared" si="23"/>
        <v>326.88</v>
      </c>
      <c r="BI27" s="131">
        <f t="shared" si="24"/>
        <v>1336.08</v>
      </c>
      <c r="BJ27" s="127">
        <v>1336</v>
      </c>
      <c r="BK27" s="114">
        <v>4.49</v>
      </c>
      <c r="BL27" s="123">
        <v>65143</v>
      </c>
      <c r="BM27" s="130">
        <f t="shared" si="25"/>
        <v>246</v>
      </c>
      <c r="BN27" s="125">
        <f t="shared" si="26"/>
        <v>1104.54</v>
      </c>
      <c r="BO27" s="114">
        <v>2.4300000000000002</v>
      </c>
      <c r="BP27" s="123">
        <v>34719</v>
      </c>
      <c r="BQ27" s="130">
        <f t="shared" si="27"/>
        <v>143</v>
      </c>
      <c r="BR27" s="125">
        <f t="shared" si="28"/>
        <v>347.49</v>
      </c>
      <c r="BS27" s="131">
        <f t="shared" si="29"/>
        <v>1452.03</v>
      </c>
      <c r="BT27" s="127">
        <v>1452</v>
      </c>
      <c r="BU27" s="114">
        <v>4.49</v>
      </c>
      <c r="BV27" s="123">
        <v>65775</v>
      </c>
      <c r="BW27" s="130">
        <f t="shared" si="30"/>
        <v>632</v>
      </c>
      <c r="BX27" s="125">
        <f t="shared" si="31"/>
        <v>2837.6800000000003</v>
      </c>
      <c r="BY27" s="114">
        <v>2.4300000000000002</v>
      </c>
      <c r="BZ27" s="123">
        <v>35092</v>
      </c>
      <c r="CA27" s="130">
        <f t="shared" si="32"/>
        <v>373</v>
      </c>
      <c r="CB27" s="125">
        <f t="shared" si="33"/>
        <v>906.3900000000001</v>
      </c>
      <c r="CC27" s="131">
        <f t="shared" si="34"/>
        <v>3744.0700000000006</v>
      </c>
      <c r="CD27" s="127">
        <v>3744</v>
      </c>
      <c r="CE27" s="114">
        <v>4.49</v>
      </c>
      <c r="CF27" s="123">
        <v>66495</v>
      </c>
      <c r="CG27" s="129">
        <f t="shared" si="35"/>
        <v>720</v>
      </c>
      <c r="CH27" s="125">
        <f t="shared" si="49"/>
        <v>3232.8</v>
      </c>
      <c r="CI27" s="114">
        <v>2.4300000000000002</v>
      </c>
      <c r="CJ27" s="123">
        <v>35545</v>
      </c>
      <c r="CK27" s="129">
        <f t="shared" si="36"/>
        <v>453</v>
      </c>
      <c r="CL27" s="125">
        <f t="shared" si="37"/>
        <v>1100.79</v>
      </c>
      <c r="CM27" s="127">
        <f t="shared" si="38"/>
        <v>4333.59</v>
      </c>
      <c r="CN27" s="127">
        <v>4334</v>
      </c>
      <c r="CO27" s="114">
        <v>4.49</v>
      </c>
      <c r="CP27" s="123">
        <v>67599</v>
      </c>
      <c r="CQ27" s="130">
        <f t="shared" si="39"/>
        <v>1104</v>
      </c>
      <c r="CR27" s="125">
        <f t="shared" si="40"/>
        <v>4956.96</v>
      </c>
      <c r="CS27" s="114">
        <v>2.4300000000000002</v>
      </c>
      <c r="CT27" s="123">
        <v>36181</v>
      </c>
      <c r="CU27" s="130">
        <f t="shared" si="41"/>
        <v>636</v>
      </c>
      <c r="CV27" s="125">
        <f t="shared" si="50"/>
        <v>1545.48</v>
      </c>
      <c r="CW27" s="131">
        <f t="shared" si="42"/>
        <v>6502.4400000000005</v>
      </c>
      <c r="CX27" s="127">
        <v>6502</v>
      </c>
      <c r="CY27" s="114">
        <v>4.49</v>
      </c>
      <c r="CZ27" s="123">
        <v>69054</v>
      </c>
      <c r="DA27" s="130">
        <f t="shared" si="43"/>
        <v>1455</v>
      </c>
      <c r="DB27" s="132">
        <f t="shared" si="44"/>
        <v>6532.9500000000007</v>
      </c>
      <c r="DC27" s="114">
        <v>2.4300000000000002</v>
      </c>
      <c r="DD27" s="123">
        <v>36980</v>
      </c>
      <c r="DE27" s="130">
        <f t="shared" si="45"/>
        <v>799</v>
      </c>
      <c r="DF27" s="132">
        <f t="shared" si="46"/>
        <v>1941.5700000000002</v>
      </c>
      <c r="DG27" s="133">
        <f t="shared" si="47"/>
        <v>8474.52</v>
      </c>
      <c r="DH27" s="131"/>
      <c r="DI27" s="114">
        <v>4.49</v>
      </c>
      <c r="DJ27" s="130"/>
      <c r="DK27" s="130"/>
      <c r="DL27" s="132"/>
      <c r="DM27" s="114">
        <v>2.4300000000000002</v>
      </c>
      <c r="DN27" s="130"/>
      <c r="DO27" s="130"/>
      <c r="DP27" s="132"/>
      <c r="DQ27" s="131">
        <f t="shared" si="48"/>
        <v>0</v>
      </c>
      <c r="DR27" s="131"/>
      <c r="DS27" s="134"/>
      <c r="DT27" s="135"/>
      <c r="DU27" s="26"/>
    </row>
    <row r="28" spans="1:125" ht="12.75" customHeight="1">
      <c r="A28" s="82" t="s">
        <v>187</v>
      </c>
      <c r="B28" s="30" t="s">
        <v>188</v>
      </c>
      <c r="C28" s="114">
        <v>4.3499999999999996</v>
      </c>
      <c r="D28" s="137">
        <v>44968</v>
      </c>
      <c r="E28" s="130">
        <f>D28-43333</f>
        <v>1635</v>
      </c>
      <c r="F28" s="125">
        <f t="shared" si="0"/>
        <v>7112.2499999999991</v>
      </c>
      <c r="G28" s="114">
        <v>2.27</v>
      </c>
      <c r="H28" s="137">
        <v>22826</v>
      </c>
      <c r="I28" s="130">
        <f>H28-21990</f>
        <v>836</v>
      </c>
      <c r="J28" s="125">
        <f t="shared" si="1"/>
        <v>1897.72</v>
      </c>
      <c r="K28" s="126">
        <f t="shared" si="51"/>
        <v>9009.9699999999993</v>
      </c>
      <c r="L28" s="144">
        <v>9010</v>
      </c>
      <c r="M28" s="114">
        <v>4.3499999999999996</v>
      </c>
      <c r="N28" s="139">
        <v>45823</v>
      </c>
      <c r="O28" s="129">
        <f t="shared" si="2"/>
        <v>855</v>
      </c>
      <c r="P28" s="125">
        <f t="shared" si="3"/>
        <v>3719.2499999999995</v>
      </c>
      <c r="Q28" s="114">
        <v>2.27</v>
      </c>
      <c r="R28" s="60">
        <v>23266</v>
      </c>
      <c r="S28" s="129">
        <f t="shared" si="4"/>
        <v>440</v>
      </c>
      <c r="T28" s="125">
        <f t="shared" si="5"/>
        <v>998.8</v>
      </c>
      <c r="U28" s="126">
        <f t="shared" si="6"/>
        <v>4718.0499999999993</v>
      </c>
      <c r="V28" s="127">
        <v>4718</v>
      </c>
      <c r="W28" s="114">
        <v>4.3499999999999996</v>
      </c>
      <c r="X28" s="123">
        <v>46746</v>
      </c>
      <c r="Y28" s="130">
        <f t="shared" si="7"/>
        <v>923</v>
      </c>
      <c r="Z28" s="125">
        <f t="shared" si="8"/>
        <v>4015.0499999999997</v>
      </c>
      <c r="AA28" s="114">
        <v>2.27</v>
      </c>
      <c r="AB28" s="123">
        <v>23728</v>
      </c>
      <c r="AC28" s="130">
        <f t="shared" si="9"/>
        <v>462</v>
      </c>
      <c r="AD28" s="125">
        <f t="shared" si="10"/>
        <v>1048.74</v>
      </c>
      <c r="AE28" s="126">
        <f t="shared" si="11"/>
        <v>5063.79</v>
      </c>
      <c r="AF28" s="127">
        <v>5064</v>
      </c>
      <c r="AG28" s="114">
        <v>4.3499999999999996</v>
      </c>
      <c r="AH28" s="123">
        <v>46923</v>
      </c>
      <c r="AI28" s="129">
        <f t="shared" si="12"/>
        <v>177</v>
      </c>
      <c r="AJ28" s="125">
        <f t="shared" si="52"/>
        <v>769.94999999999993</v>
      </c>
      <c r="AK28" s="114">
        <v>2.27</v>
      </c>
      <c r="AL28" s="123">
        <v>23817</v>
      </c>
      <c r="AM28" s="129">
        <f t="shared" si="13"/>
        <v>89</v>
      </c>
      <c r="AN28" s="125">
        <f t="shared" si="53"/>
        <v>202.03</v>
      </c>
      <c r="AO28" s="131">
        <f t="shared" si="14"/>
        <v>971.9799999999999</v>
      </c>
      <c r="AP28" s="127">
        <v>972</v>
      </c>
      <c r="AQ28" s="114">
        <v>4.3499999999999996</v>
      </c>
      <c r="AR28" s="123">
        <v>47092</v>
      </c>
      <c r="AS28" s="130">
        <f t="shared" si="15"/>
        <v>169</v>
      </c>
      <c r="AT28" s="125">
        <f t="shared" si="16"/>
        <v>735.15</v>
      </c>
      <c r="AU28" s="114">
        <v>2.27</v>
      </c>
      <c r="AV28" s="123">
        <v>23898</v>
      </c>
      <c r="AW28" s="130">
        <f t="shared" si="17"/>
        <v>81</v>
      </c>
      <c r="AX28" s="125">
        <f t="shared" si="18"/>
        <v>183.87</v>
      </c>
      <c r="AY28" s="131">
        <f t="shared" si="19"/>
        <v>919.02</v>
      </c>
      <c r="AZ28" s="127">
        <v>919</v>
      </c>
      <c r="BA28" s="114">
        <v>4.3499999999999996</v>
      </c>
      <c r="BB28" s="123">
        <v>47171</v>
      </c>
      <c r="BC28" s="130">
        <f t="shared" si="20"/>
        <v>79</v>
      </c>
      <c r="BD28" s="125">
        <f t="shared" si="21"/>
        <v>343.65</v>
      </c>
      <c r="BE28" s="114">
        <v>2.27</v>
      </c>
      <c r="BF28" s="123">
        <v>23939</v>
      </c>
      <c r="BG28" s="130">
        <f t="shared" si="22"/>
        <v>41</v>
      </c>
      <c r="BH28" s="125">
        <f t="shared" si="23"/>
        <v>93.070000000000007</v>
      </c>
      <c r="BI28" s="131">
        <f t="shared" si="24"/>
        <v>436.71999999999997</v>
      </c>
      <c r="BJ28" s="127">
        <v>437</v>
      </c>
      <c r="BK28" s="114">
        <v>4.49</v>
      </c>
      <c r="BL28" s="123">
        <v>47235</v>
      </c>
      <c r="BM28" s="130">
        <f t="shared" si="25"/>
        <v>64</v>
      </c>
      <c r="BN28" s="125">
        <f t="shared" si="26"/>
        <v>287.36</v>
      </c>
      <c r="BO28" s="114">
        <v>2.4300000000000002</v>
      </c>
      <c r="BP28" s="123">
        <v>23969</v>
      </c>
      <c r="BQ28" s="130">
        <f t="shared" si="27"/>
        <v>30</v>
      </c>
      <c r="BR28" s="125">
        <f t="shared" si="28"/>
        <v>72.900000000000006</v>
      </c>
      <c r="BS28" s="131">
        <f t="shared" si="29"/>
        <v>360.26</v>
      </c>
      <c r="BT28" s="127">
        <v>360</v>
      </c>
      <c r="BU28" s="114">
        <v>4.49</v>
      </c>
      <c r="BV28" s="123">
        <v>47286</v>
      </c>
      <c r="BW28" s="130">
        <f t="shared" si="30"/>
        <v>51</v>
      </c>
      <c r="BX28" s="125">
        <f t="shared" si="31"/>
        <v>228.99</v>
      </c>
      <c r="BY28" s="114">
        <v>2.4300000000000002</v>
      </c>
      <c r="BZ28" s="123">
        <v>23993</v>
      </c>
      <c r="CA28" s="130">
        <f t="shared" si="32"/>
        <v>24</v>
      </c>
      <c r="CB28" s="125">
        <f t="shared" si="33"/>
        <v>58.320000000000007</v>
      </c>
      <c r="CC28" s="131">
        <f t="shared" si="34"/>
        <v>287.31</v>
      </c>
      <c r="CD28" s="127">
        <v>287</v>
      </c>
      <c r="CE28" s="114">
        <v>4.49</v>
      </c>
      <c r="CF28" s="123">
        <v>47548</v>
      </c>
      <c r="CG28" s="129">
        <f t="shared" si="35"/>
        <v>262</v>
      </c>
      <c r="CH28" s="125">
        <f t="shared" si="49"/>
        <v>1176.3800000000001</v>
      </c>
      <c r="CI28" s="114">
        <v>2.4300000000000002</v>
      </c>
      <c r="CJ28" s="123">
        <v>24124</v>
      </c>
      <c r="CK28" s="129">
        <f t="shared" si="36"/>
        <v>131</v>
      </c>
      <c r="CL28" s="125">
        <f t="shared" si="37"/>
        <v>318.33000000000004</v>
      </c>
      <c r="CM28" s="127">
        <f t="shared" si="38"/>
        <v>1494.71</v>
      </c>
      <c r="CN28" s="127">
        <v>1495</v>
      </c>
      <c r="CO28" s="114">
        <v>4.49</v>
      </c>
      <c r="CP28" s="123">
        <v>49055</v>
      </c>
      <c r="CQ28" s="130">
        <f t="shared" si="39"/>
        <v>1507</v>
      </c>
      <c r="CR28" s="125">
        <f t="shared" si="40"/>
        <v>6766.43</v>
      </c>
      <c r="CS28" s="114">
        <v>2.4300000000000002</v>
      </c>
      <c r="CT28" s="123">
        <v>24905</v>
      </c>
      <c r="CU28" s="130">
        <f t="shared" si="41"/>
        <v>781</v>
      </c>
      <c r="CV28" s="125">
        <f t="shared" si="50"/>
        <v>1897.8300000000002</v>
      </c>
      <c r="CW28" s="131">
        <f t="shared" si="42"/>
        <v>8664.26</v>
      </c>
      <c r="CX28" s="127">
        <v>8664</v>
      </c>
      <c r="CY28" s="114">
        <v>4.49</v>
      </c>
      <c r="CZ28" s="123">
        <v>50798</v>
      </c>
      <c r="DA28" s="130">
        <f t="shared" si="43"/>
        <v>1743</v>
      </c>
      <c r="DB28" s="132">
        <f t="shared" si="44"/>
        <v>7826.0700000000006</v>
      </c>
      <c r="DC28" s="114">
        <v>2.4300000000000002</v>
      </c>
      <c r="DD28" s="123">
        <v>25814</v>
      </c>
      <c r="DE28" s="130">
        <f t="shared" si="45"/>
        <v>909</v>
      </c>
      <c r="DF28" s="132">
        <f t="shared" si="46"/>
        <v>2208.8700000000003</v>
      </c>
      <c r="DG28" s="133">
        <f t="shared" si="47"/>
        <v>10034.94</v>
      </c>
      <c r="DH28" s="127">
        <v>30</v>
      </c>
      <c r="DI28" s="114">
        <v>4.49</v>
      </c>
      <c r="DJ28" s="130"/>
      <c r="DK28" s="130"/>
      <c r="DL28" s="132"/>
      <c r="DM28" s="114">
        <v>2.4300000000000002</v>
      </c>
      <c r="DN28" s="130"/>
      <c r="DO28" s="130"/>
      <c r="DP28" s="132"/>
      <c r="DQ28" s="131">
        <f t="shared" si="48"/>
        <v>0</v>
      </c>
      <c r="DR28" s="131"/>
      <c r="DS28" s="134"/>
      <c r="DT28" s="135"/>
      <c r="DU28" s="26"/>
    </row>
    <row r="29" spans="1:125" ht="12.75" customHeight="1">
      <c r="A29" s="82" t="s">
        <v>189</v>
      </c>
      <c r="B29" s="136" t="s">
        <v>190</v>
      </c>
      <c r="C29" s="114">
        <v>4.3499999999999996</v>
      </c>
      <c r="D29" s="137">
        <v>13206</v>
      </c>
      <c r="E29" s="130">
        <f>D29-13204</f>
        <v>2</v>
      </c>
      <c r="F29" s="125">
        <f t="shared" si="0"/>
        <v>8.6999999999999993</v>
      </c>
      <c r="G29" s="114">
        <v>2.27</v>
      </c>
      <c r="H29" s="137">
        <v>6382</v>
      </c>
      <c r="I29" s="130">
        <f>H29-6381</f>
        <v>1</v>
      </c>
      <c r="J29" s="125">
        <f t="shared" si="1"/>
        <v>2.27</v>
      </c>
      <c r="K29" s="126">
        <f t="shared" si="51"/>
        <v>10.969999999999999</v>
      </c>
      <c r="L29" s="127">
        <v>11</v>
      </c>
      <c r="M29" s="114">
        <v>4.3499999999999996</v>
      </c>
      <c r="N29" s="139">
        <v>13207</v>
      </c>
      <c r="O29" s="129">
        <f t="shared" si="2"/>
        <v>1</v>
      </c>
      <c r="P29" s="125">
        <f t="shared" si="3"/>
        <v>4.3499999999999996</v>
      </c>
      <c r="Q29" s="114">
        <v>2.27</v>
      </c>
      <c r="R29" s="140">
        <v>6382</v>
      </c>
      <c r="S29" s="129">
        <f t="shared" si="4"/>
        <v>0</v>
      </c>
      <c r="T29" s="125">
        <f t="shared" si="5"/>
        <v>0</v>
      </c>
      <c r="U29" s="126">
        <f t="shared" si="6"/>
        <v>4.3499999999999996</v>
      </c>
      <c r="V29" s="127">
        <v>4</v>
      </c>
      <c r="W29" s="114">
        <v>4.3499999999999996</v>
      </c>
      <c r="X29" s="123">
        <v>13208</v>
      </c>
      <c r="Y29" s="130">
        <f t="shared" si="7"/>
        <v>1</v>
      </c>
      <c r="Z29" s="125">
        <f t="shared" si="8"/>
        <v>4.3499999999999996</v>
      </c>
      <c r="AA29" s="114">
        <v>2.27</v>
      </c>
      <c r="AB29" s="123">
        <v>6383</v>
      </c>
      <c r="AC29" s="130">
        <f t="shared" si="9"/>
        <v>1</v>
      </c>
      <c r="AD29" s="125">
        <f t="shared" si="10"/>
        <v>2.27</v>
      </c>
      <c r="AE29" s="126">
        <f t="shared" si="11"/>
        <v>6.6199999999999992</v>
      </c>
      <c r="AF29" s="127">
        <v>7</v>
      </c>
      <c r="AG29" s="114">
        <v>4.3499999999999996</v>
      </c>
      <c r="AH29" s="123">
        <v>13209</v>
      </c>
      <c r="AI29" s="129">
        <f t="shared" si="12"/>
        <v>1</v>
      </c>
      <c r="AJ29" s="125">
        <f t="shared" si="52"/>
        <v>4.3499999999999996</v>
      </c>
      <c r="AK29" s="114">
        <v>2.27</v>
      </c>
      <c r="AL29" s="123">
        <v>6383</v>
      </c>
      <c r="AM29" s="129">
        <f t="shared" si="13"/>
        <v>0</v>
      </c>
      <c r="AN29" s="125">
        <f t="shared" si="53"/>
        <v>0</v>
      </c>
      <c r="AO29" s="131">
        <f t="shared" si="14"/>
        <v>4.3499999999999996</v>
      </c>
      <c r="AP29" s="127">
        <v>4</v>
      </c>
      <c r="AQ29" s="114">
        <v>4.3499999999999996</v>
      </c>
      <c r="AR29" s="123">
        <v>13353</v>
      </c>
      <c r="AS29" s="130">
        <f t="shared" si="15"/>
        <v>144</v>
      </c>
      <c r="AT29" s="125">
        <f t="shared" si="16"/>
        <v>626.4</v>
      </c>
      <c r="AU29" s="114">
        <v>2.27</v>
      </c>
      <c r="AV29" s="123">
        <v>6459</v>
      </c>
      <c r="AW29" s="130">
        <f t="shared" si="17"/>
        <v>76</v>
      </c>
      <c r="AX29" s="125">
        <f t="shared" si="18"/>
        <v>172.52</v>
      </c>
      <c r="AY29" s="131">
        <f t="shared" si="19"/>
        <v>798.92</v>
      </c>
      <c r="AZ29" s="127">
        <v>799</v>
      </c>
      <c r="BA29" s="114">
        <v>4.3499999999999996</v>
      </c>
      <c r="BB29" s="123">
        <v>13432</v>
      </c>
      <c r="BC29" s="130">
        <f t="shared" si="20"/>
        <v>79</v>
      </c>
      <c r="BD29" s="125">
        <f t="shared" si="21"/>
        <v>343.65</v>
      </c>
      <c r="BE29" s="114">
        <v>2.27</v>
      </c>
      <c r="BF29" s="123">
        <v>6487</v>
      </c>
      <c r="BG29" s="130">
        <f t="shared" si="22"/>
        <v>28</v>
      </c>
      <c r="BH29" s="125">
        <f t="shared" si="23"/>
        <v>63.56</v>
      </c>
      <c r="BI29" s="131">
        <f t="shared" si="24"/>
        <v>407.21</v>
      </c>
      <c r="BJ29" s="127">
        <v>407</v>
      </c>
      <c r="BK29" s="114">
        <v>4.49</v>
      </c>
      <c r="BL29" s="123">
        <v>13615</v>
      </c>
      <c r="BM29" s="130">
        <f t="shared" si="25"/>
        <v>183</v>
      </c>
      <c r="BN29" s="125">
        <f t="shared" si="26"/>
        <v>821.67000000000007</v>
      </c>
      <c r="BO29" s="114">
        <v>2.4300000000000002</v>
      </c>
      <c r="BP29" s="123">
        <v>6553</v>
      </c>
      <c r="BQ29" s="130">
        <f t="shared" si="27"/>
        <v>66</v>
      </c>
      <c r="BR29" s="125">
        <f t="shared" si="28"/>
        <v>160.38000000000002</v>
      </c>
      <c r="BS29" s="131">
        <f t="shared" si="29"/>
        <v>982.05000000000007</v>
      </c>
      <c r="BT29" s="127">
        <v>982</v>
      </c>
      <c r="BU29" s="114">
        <v>4.49</v>
      </c>
      <c r="BV29" s="123">
        <v>13779</v>
      </c>
      <c r="BW29" s="130">
        <f t="shared" si="30"/>
        <v>164</v>
      </c>
      <c r="BX29" s="125">
        <f t="shared" si="31"/>
        <v>736.36</v>
      </c>
      <c r="BY29" s="114">
        <v>2.4300000000000002</v>
      </c>
      <c r="BZ29" s="123">
        <v>6619</v>
      </c>
      <c r="CA29" s="130">
        <f t="shared" si="32"/>
        <v>66</v>
      </c>
      <c r="CB29" s="125">
        <f t="shared" si="33"/>
        <v>160.38000000000002</v>
      </c>
      <c r="CC29" s="131">
        <f t="shared" si="34"/>
        <v>896.74</v>
      </c>
      <c r="CD29" s="127">
        <v>897</v>
      </c>
      <c r="CE29" s="114">
        <v>4.49</v>
      </c>
      <c r="CF29" s="123">
        <v>13817</v>
      </c>
      <c r="CG29" s="129">
        <f t="shared" si="35"/>
        <v>38</v>
      </c>
      <c r="CH29" s="125">
        <f t="shared" si="49"/>
        <v>170.62</v>
      </c>
      <c r="CI29" s="114">
        <v>2.4300000000000002</v>
      </c>
      <c r="CJ29" s="123">
        <v>6633</v>
      </c>
      <c r="CK29" s="129">
        <f t="shared" si="36"/>
        <v>14</v>
      </c>
      <c r="CL29" s="125">
        <f t="shared" si="37"/>
        <v>34.020000000000003</v>
      </c>
      <c r="CM29" s="127">
        <f t="shared" si="38"/>
        <v>204.64000000000001</v>
      </c>
      <c r="CN29" s="127">
        <v>205</v>
      </c>
      <c r="CO29" s="114">
        <v>4.49</v>
      </c>
      <c r="CP29" s="123">
        <v>13825</v>
      </c>
      <c r="CQ29" s="130">
        <f t="shared" si="39"/>
        <v>8</v>
      </c>
      <c r="CR29" s="125">
        <f t="shared" si="40"/>
        <v>35.92</v>
      </c>
      <c r="CS29" s="114">
        <v>2.4300000000000002</v>
      </c>
      <c r="CT29" s="123">
        <v>6636</v>
      </c>
      <c r="CU29" s="130">
        <f t="shared" si="41"/>
        <v>3</v>
      </c>
      <c r="CV29" s="125">
        <f t="shared" si="50"/>
        <v>7.2900000000000009</v>
      </c>
      <c r="CW29" s="131">
        <f t="shared" si="42"/>
        <v>43.21</v>
      </c>
      <c r="CX29" s="127">
        <v>43</v>
      </c>
      <c r="CY29" s="114">
        <v>4.49</v>
      </c>
      <c r="CZ29" s="123">
        <v>13825</v>
      </c>
      <c r="DA29" s="130">
        <f t="shared" si="43"/>
        <v>0</v>
      </c>
      <c r="DB29" s="132">
        <f t="shared" si="44"/>
        <v>0</v>
      </c>
      <c r="DC29" s="114">
        <v>2.4300000000000002</v>
      </c>
      <c r="DD29" s="123">
        <v>6636</v>
      </c>
      <c r="DE29" s="130">
        <f t="shared" si="45"/>
        <v>0</v>
      </c>
      <c r="DF29" s="132">
        <f t="shared" si="46"/>
        <v>0</v>
      </c>
      <c r="DG29" s="133">
        <f t="shared" si="47"/>
        <v>0</v>
      </c>
      <c r="DH29" s="131"/>
      <c r="DI29" s="114">
        <v>4.49</v>
      </c>
      <c r="DJ29" s="130"/>
      <c r="DK29" s="130"/>
      <c r="DL29" s="132"/>
      <c r="DM29" s="114">
        <v>2.4300000000000002</v>
      </c>
      <c r="DN29" s="130"/>
      <c r="DO29" s="130"/>
      <c r="DP29" s="132"/>
      <c r="DQ29" s="131">
        <f t="shared" si="48"/>
        <v>0</v>
      </c>
      <c r="DR29" s="131"/>
      <c r="DS29" s="134"/>
      <c r="DT29" s="135"/>
      <c r="DU29" s="26"/>
    </row>
    <row r="30" spans="1:125" ht="12.75" customHeight="1">
      <c r="A30" s="82" t="s">
        <v>231</v>
      </c>
      <c r="B30" s="136" t="s">
        <v>192</v>
      </c>
      <c r="C30" s="114">
        <v>4.3499999999999996</v>
      </c>
      <c r="D30" s="137">
        <v>6119</v>
      </c>
      <c r="E30" s="130">
        <f>D30-5808</f>
        <v>311</v>
      </c>
      <c r="F30" s="125">
        <f t="shared" si="0"/>
        <v>1352.85</v>
      </c>
      <c r="G30" s="114">
        <v>2.27</v>
      </c>
      <c r="H30" s="137">
        <v>2427</v>
      </c>
      <c r="I30" s="130">
        <f>H30-2297</f>
        <v>130</v>
      </c>
      <c r="J30" s="125">
        <f t="shared" si="1"/>
        <v>295.10000000000002</v>
      </c>
      <c r="K30" s="126">
        <f t="shared" si="51"/>
        <v>1647.9499999999998</v>
      </c>
      <c r="L30" s="127">
        <v>1648</v>
      </c>
      <c r="M30" s="114">
        <v>4.3499999999999996</v>
      </c>
      <c r="N30" s="139">
        <v>6540</v>
      </c>
      <c r="O30" s="129">
        <f t="shared" si="2"/>
        <v>421</v>
      </c>
      <c r="P30" s="125">
        <f t="shared" si="3"/>
        <v>1831.35</v>
      </c>
      <c r="Q30" s="114">
        <v>2.27</v>
      </c>
      <c r="R30" s="140">
        <v>2624</v>
      </c>
      <c r="S30" s="129">
        <f t="shared" si="4"/>
        <v>197</v>
      </c>
      <c r="T30" s="125">
        <f t="shared" si="5"/>
        <v>447.19</v>
      </c>
      <c r="U30" s="126">
        <f t="shared" si="6"/>
        <v>2278.54</v>
      </c>
      <c r="V30" s="127">
        <v>2279</v>
      </c>
      <c r="W30" s="114">
        <v>4.3499999999999996</v>
      </c>
      <c r="X30" s="123">
        <v>7349</v>
      </c>
      <c r="Y30" s="130">
        <f t="shared" si="7"/>
        <v>809</v>
      </c>
      <c r="Z30" s="125">
        <f t="shared" si="8"/>
        <v>3519.1499999999996</v>
      </c>
      <c r="AA30" s="114">
        <v>2.27</v>
      </c>
      <c r="AB30" s="123">
        <v>3035</v>
      </c>
      <c r="AC30" s="130">
        <f t="shared" si="9"/>
        <v>411</v>
      </c>
      <c r="AD30" s="125">
        <f t="shared" si="10"/>
        <v>932.97</v>
      </c>
      <c r="AE30" s="126">
        <f t="shared" si="11"/>
        <v>4452.12</v>
      </c>
      <c r="AF30" s="127">
        <v>4452</v>
      </c>
      <c r="AG30" s="114">
        <v>4.3499999999999996</v>
      </c>
      <c r="AH30" s="123">
        <v>7893</v>
      </c>
      <c r="AI30" s="129">
        <f t="shared" si="12"/>
        <v>544</v>
      </c>
      <c r="AJ30" s="125">
        <f t="shared" si="52"/>
        <v>2366.3999999999996</v>
      </c>
      <c r="AK30" s="114">
        <v>2.27</v>
      </c>
      <c r="AL30" s="123">
        <v>3315</v>
      </c>
      <c r="AM30" s="129">
        <f t="shared" si="13"/>
        <v>280</v>
      </c>
      <c r="AN30" s="125">
        <f t="shared" si="53"/>
        <v>635.6</v>
      </c>
      <c r="AO30" s="131">
        <f t="shared" si="14"/>
        <v>3001.9999999999995</v>
      </c>
      <c r="AP30" s="127">
        <v>3002</v>
      </c>
      <c r="AQ30" s="114">
        <v>4.3499999999999996</v>
      </c>
      <c r="AR30" s="123">
        <v>8296</v>
      </c>
      <c r="AS30" s="130">
        <f t="shared" si="15"/>
        <v>403</v>
      </c>
      <c r="AT30" s="125">
        <f t="shared" si="16"/>
        <v>1753.05</v>
      </c>
      <c r="AU30" s="114">
        <v>2.27</v>
      </c>
      <c r="AV30" s="123">
        <v>3501</v>
      </c>
      <c r="AW30" s="130">
        <f t="shared" si="17"/>
        <v>186</v>
      </c>
      <c r="AX30" s="125">
        <f t="shared" si="18"/>
        <v>422.22</v>
      </c>
      <c r="AY30" s="131">
        <f t="shared" si="19"/>
        <v>2175.27</v>
      </c>
      <c r="AZ30" s="127">
        <v>2175</v>
      </c>
      <c r="BA30" s="114">
        <v>4.3499999999999996</v>
      </c>
      <c r="BB30" s="123">
        <v>8536</v>
      </c>
      <c r="BC30" s="130">
        <f t="shared" si="20"/>
        <v>240</v>
      </c>
      <c r="BD30" s="125">
        <f t="shared" si="21"/>
        <v>1044</v>
      </c>
      <c r="BE30" s="114">
        <v>2.27</v>
      </c>
      <c r="BF30" s="123">
        <v>3593</v>
      </c>
      <c r="BG30" s="130">
        <f t="shared" si="22"/>
        <v>92</v>
      </c>
      <c r="BH30" s="125">
        <f t="shared" si="23"/>
        <v>208.84</v>
      </c>
      <c r="BI30" s="131">
        <f t="shared" si="24"/>
        <v>1252.8399999999999</v>
      </c>
      <c r="BJ30" s="127">
        <v>1253</v>
      </c>
      <c r="BK30" s="114">
        <v>4.49</v>
      </c>
      <c r="BL30" s="123">
        <v>8869</v>
      </c>
      <c r="BM30" s="130">
        <f t="shared" si="25"/>
        <v>333</v>
      </c>
      <c r="BN30" s="125">
        <f t="shared" si="26"/>
        <v>1495.17</v>
      </c>
      <c r="BO30" s="114">
        <v>2.4300000000000002</v>
      </c>
      <c r="BP30" s="123">
        <v>3726</v>
      </c>
      <c r="BQ30" s="130">
        <f t="shared" si="27"/>
        <v>133</v>
      </c>
      <c r="BR30" s="125">
        <f t="shared" si="28"/>
        <v>323.19</v>
      </c>
      <c r="BS30" s="131">
        <f t="shared" si="29"/>
        <v>1818.3600000000001</v>
      </c>
      <c r="BT30" s="127">
        <v>1818</v>
      </c>
      <c r="BU30" s="114">
        <v>4.49</v>
      </c>
      <c r="BV30" s="123">
        <v>9121</v>
      </c>
      <c r="BW30" s="130">
        <f t="shared" si="30"/>
        <v>252</v>
      </c>
      <c r="BX30" s="125">
        <f t="shared" si="31"/>
        <v>1131.48</v>
      </c>
      <c r="BY30" s="114">
        <v>2.4300000000000002</v>
      </c>
      <c r="BZ30" s="123">
        <v>3837</v>
      </c>
      <c r="CA30" s="130">
        <f t="shared" si="32"/>
        <v>111</v>
      </c>
      <c r="CB30" s="125">
        <f t="shared" si="33"/>
        <v>269.73</v>
      </c>
      <c r="CC30" s="131">
        <f t="shared" si="34"/>
        <v>1401.21</v>
      </c>
      <c r="CD30" s="127">
        <v>1401</v>
      </c>
      <c r="CE30" s="114">
        <v>4.49</v>
      </c>
      <c r="CF30" s="123">
        <v>9476</v>
      </c>
      <c r="CG30" s="129">
        <f t="shared" si="35"/>
        <v>355</v>
      </c>
      <c r="CH30" s="125">
        <f t="shared" si="49"/>
        <v>1593.95</v>
      </c>
      <c r="CI30" s="114">
        <v>2.4300000000000002</v>
      </c>
      <c r="CJ30" s="123">
        <v>3980</v>
      </c>
      <c r="CK30" s="129">
        <f t="shared" si="36"/>
        <v>143</v>
      </c>
      <c r="CL30" s="125">
        <f t="shared" si="37"/>
        <v>347.49</v>
      </c>
      <c r="CM30" s="127">
        <f t="shared" si="38"/>
        <v>1941.44</v>
      </c>
      <c r="CN30" s="127">
        <v>1941</v>
      </c>
      <c r="CO30" s="114">
        <v>4.49</v>
      </c>
      <c r="CP30" s="123">
        <v>10037</v>
      </c>
      <c r="CQ30" s="130">
        <f t="shared" si="39"/>
        <v>561</v>
      </c>
      <c r="CR30" s="125">
        <f t="shared" si="40"/>
        <v>2518.8900000000003</v>
      </c>
      <c r="CS30" s="114">
        <v>2.4300000000000002</v>
      </c>
      <c r="CT30" s="123">
        <v>4226</v>
      </c>
      <c r="CU30" s="130">
        <f t="shared" si="41"/>
        <v>246</v>
      </c>
      <c r="CV30" s="125">
        <f t="shared" si="50"/>
        <v>597.78000000000009</v>
      </c>
      <c r="CW30" s="131">
        <f t="shared" si="42"/>
        <v>3116.6700000000005</v>
      </c>
      <c r="CX30" s="127">
        <v>3117</v>
      </c>
      <c r="CY30" s="114">
        <v>4.49</v>
      </c>
      <c r="CZ30" s="123">
        <v>10629</v>
      </c>
      <c r="DA30" s="130">
        <f t="shared" si="43"/>
        <v>592</v>
      </c>
      <c r="DB30" s="132">
        <f t="shared" si="44"/>
        <v>2658.08</v>
      </c>
      <c r="DC30" s="114">
        <v>2.4300000000000002</v>
      </c>
      <c r="DD30" s="123">
        <v>4465</v>
      </c>
      <c r="DE30" s="130">
        <f t="shared" si="45"/>
        <v>239</v>
      </c>
      <c r="DF30" s="132">
        <f t="shared" si="46"/>
        <v>580.77</v>
      </c>
      <c r="DG30" s="133">
        <f t="shared" si="47"/>
        <v>3238.85</v>
      </c>
      <c r="DH30" s="131"/>
      <c r="DI30" s="114">
        <v>4.49</v>
      </c>
      <c r="DJ30" s="130"/>
      <c r="DK30" s="130"/>
      <c r="DL30" s="132"/>
      <c r="DM30" s="114">
        <v>2.4300000000000002</v>
      </c>
      <c r="DN30" s="130"/>
      <c r="DO30" s="130"/>
      <c r="DP30" s="132"/>
      <c r="DQ30" s="131">
        <f t="shared" si="48"/>
        <v>0</v>
      </c>
      <c r="DR30" s="131"/>
      <c r="DS30" s="134"/>
      <c r="DT30" s="135"/>
      <c r="DU30" s="26"/>
    </row>
    <row r="31" spans="1:125" ht="12.75" customHeight="1">
      <c r="A31" s="82" t="s">
        <v>232</v>
      </c>
      <c r="B31" s="30" t="s">
        <v>198</v>
      </c>
      <c r="C31" s="114">
        <v>4.3499999999999996</v>
      </c>
      <c r="D31" s="137">
        <v>114442</v>
      </c>
      <c r="E31" s="130">
        <f>D31-111500</f>
        <v>2942</v>
      </c>
      <c r="F31" s="125">
        <f t="shared" si="0"/>
        <v>12797.699999999999</v>
      </c>
      <c r="G31" s="114">
        <v>2.27</v>
      </c>
      <c r="H31" s="137">
        <v>58584</v>
      </c>
      <c r="I31" s="130">
        <f>H31-57164</f>
        <v>1420</v>
      </c>
      <c r="J31" s="125">
        <f t="shared" si="1"/>
        <v>3223.4</v>
      </c>
      <c r="K31" s="126">
        <f t="shared" si="51"/>
        <v>16021.099999999999</v>
      </c>
      <c r="L31" s="127">
        <v>16021</v>
      </c>
      <c r="M31" s="114">
        <v>4.3499999999999996</v>
      </c>
      <c r="N31" s="139">
        <v>116146</v>
      </c>
      <c r="O31" s="129">
        <f t="shared" si="2"/>
        <v>1704</v>
      </c>
      <c r="P31" s="125">
        <f t="shared" si="3"/>
        <v>7412.4</v>
      </c>
      <c r="Q31" s="114">
        <v>2.27</v>
      </c>
      <c r="R31" s="140">
        <v>59439</v>
      </c>
      <c r="S31" s="129">
        <f t="shared" si="4"/>
        <v>855</v>
      </c>
      <c r="T31" s="125">
        <f t="shared" si="5"/>
        <v>1940.85</v>
      </c>
      <c r="U31" s="126">
        <f t="shared" si="6"/>
        <v>9353.25</v>
      </c>
      <c r="V31" s="127">
        <v>9353</v>
      </c>
      <c r="W31" s="114">
        <v>4.3499999999999996</v>
      </c>
      <c r="X31" s="123">
        <v>118221</v>
      </c>
      <c r="Y31" s="130">
        <f t="shared" si="7"/>
        <v>2075</v>
      </c>
      <c r="Z31" s="125">
        <f t="shared" si="8"/>
        <v>9026.25</v>
      </c>
      <c r="AA31" s="114">
        <v>2.27</v>
      </c>
      <c r="AB31" s="123">
        <v>60477</v>
      </c>
      <c r="AC31" s="130">
        <f t="shared" si="9"/>
        <v>1038</v>
      </c>
      <c r="AD31" s="125">
        <f t="shared" si="10"/>
        <v>2356.2600000000002</v>
      </c>
      <c r="AE31" s="126">
        <f t="shared" si="11"/>
        <v>11382.51</v>
      </c>
      <c r="AF31" s="127">
        <v>11383</v>
      </c>
      <c r="AG31" s="114">
        <v>4.3499999999999996</v>
      </c>
      <c r="AH31" s="123">
        <v>119273</v>
      </c>
      <c r="AI31" s="129">
        <f t="shared" si="12"/>
        <v>1052</v>
      </c>
      <c r="AJ31" s="125">
        <f t="shared" si="52"/>
        <v>4576.2</v>
      </c>
      <c r="AK31" s="114">
        <v>2.27</v>
      </c>
      <c r="AL31" s="123">
        <v>61024</v>
      </c>
      <c r="AM31" s="129">
        <f t="shared" si="13"/>
        <v>547</v>
      </c>
      <c r="AN31" s="125">
        <f t="shared" si="53"/>
        <v>1241.69</v>
      </c>
      <c r="AO31" s="131">
        <f t="shared" si="14"/>
        <v>5817.8899999999994</v>
      </c>
      <c r="AP31" s="127">
        <v>5818</v>
      </c>
      <c r="AQ31" s="114">
        <v>4.3499999999999996</v>
      </c>
      <c r="AR31" s="123">
        <v>120002</v>
      </c>
      <c r="AS31" s="130">
        <f t="shared" si="15"/>
        <v>729</v>
      </c>
      <c r="AT31" s="125">
        <f t="shared" si="16"/>
        <v>3171.1499999999996</v>
      </c>
      <c r="AU31" s="114">
        <v>2.27</v>
      </c>
      <c r="AV31" s="123">
        <v>61384</v>
      </c>
      <c r="AW31" s="130">
        <f t="shared" si="17"/>
        <v>360</v>
      </c>
      <c r="AX31" s="125">
        <f t="shared" si="18"/>
        <v>817.2</v>
      </c>
      <c r="AY31" s="131">
        <f t="shared" si="19"/>
        <v>3988.3499999999995</v>
      </c>
      <c r="AZ31" s="127">
        <v>3988</v>
      </c>
      <c r="BA31" s="114">
        <v>4.3499999999999996</v>
      </c>
      <c r="BB31" s="123">
        <v>120570</v>
      </c>
      <c r="BC31" s="130">
        <f t="shared" si="20"/>
        <v>568</v>
      </c>
      <c r="BD31" s="125">
        <f t="shared" si="21"/>
        <v>2470.7999999999997</v>
      </c>
      <c r="BE31" s="114">
        <v>2.27</v>
      </c>
      <c r="BF31" s="123">
        <v>61617</v>
      </c>
      <c r="BG31" s="130">
        <f t="shared" si="22"/>
        <v>233</v>
      </c>
      <c r="BH31" s="125">
        <f t="shared" si="23"/>
        <v>528.91</v>
      </c>
      <c r="BI31" s="131">
        <f t="shared" si="24"/>
        <v>2999.7099999999996</v>
      </c>
      <c r="BJ31" s="127">
        <v>3000</v>
      </c>
      <c r="BK31" s="114">
        <v>4.49</v>
      </c>
      <c r="BL31" s="123">
        <v>121241</v>
      </c>
      <c r="BM31" s="130">
        <f t="shared" si="25"/>
        <v>671</v>
      </c>
      <c r="BN31" s="125">
        <f t="shared" si="26"/>
        <v>3012.79</v>
      </c>
      <c r="BO31" s="114">
        <v>2.4300000000000002</v>
      </c>
      <c r="BP31" s="123">
        <v>61914</v>
      </c>
      <c r="BQ31" s="130">
        <f t="shared" si="27"/>
        <v>297</v>
      </c>
      <c r="BR31" s="125">
        <f t="shared" si="28"/>
        <v>721.71</v>
      </c>
      <c r="BS31" s="131">
        <f t="shared" si="29"/>
        <v>3734.5</v>
      </c>
      <c r="BT31" s="127">
        <v>3735</v>
      </c>
      <c r="BU31" s="114">
        <v>4.49</v>
      </c>
      <c r="BV31" s="123">
        <v>122031</v>
      </c>
      <c r="BW31" s="130">
        <f t="shared" si="30"/>
        <v>790</v>
      </c>
      <c r="BX31" s="125">
        <f t="shared" si="31"/>
        <v>3547.1000000000004</v>
      </c>
      <c r="BY31" s="114">
        <v>2.4300000000000002</v>
      </c>
      <c r="BZ31" s="123">
        <v>62303</v>
      </c>
      <c r="CA31" s="130">
        <f t="shared" si="32"/>
        <v>389</v>
      </c>
      <c r="CB31" s="125">
        <f t="shared" si="33"/>
        <v>945.2700000000001</v>
      </c>
      <c r="CC31" s="131">
        <f t="shared" si="34"/>
        <v>4492.3700000000008</v>
      </c>
      <c r="CD31" s="127">
        <v>4492</v>
      </c>
      <c r="CE31" s="114">
        <v>4.49</v>
      </c>
      <c r="CF31" s="123">
        <v>122787</v>
      </c>
      <c r="CG31" s="129">
        <f t="shared" si="35"/>
        <v>756</v>
      </c>
      <c r="CH31" s="125">
        <f t="shared" si="49"/>
        <v>3394.44</v>
      </c>
      <c r="CI31" s="114">
        <v>2.4300000000000002</v>
      </c>
      <c r="CJ31" s="123">
        <v>62712</v>
      </c>
      <c r="CK31" s="129">
        <f t="shared" si="36"/>
        <v>409</v>
      </c>
      <c r="CL31" s="125">
        <f t="shared" si="37"/>
        <v>993.87000000000012</v>
      </c>
      <c r="CM31" s="127">
        <f t="shared" si="38"/>
        <v>4388.3100000000004</v>
      </c>
      <c r="CN31" s="127">
        <v>4388</v>
      </c>
      <c r="CO31" s="114">
        <v>4.49</v>
      </c>
      <c r="CP31" s="123">
        <v>123472</v>
      </c>
      <c r="CQ31" s="130">
        <f t="shared" si="39"/>
        <v>685</v>
      </c>
      <c r="CR31" s="125">
        <f t="shared" si="40"/>
        <v>3075.65</v>
      </c>
      <c r="CS31" s="114">
        <v>2.4300000000000002</v>
      </c>
      <c r="CT31" s="123">
        <v>63088</v>
      </c>
      <c r="CU31" s="130">
        <f t="shared" si="41"/>
        <v>376</v>
      </c>
      <c r="CV31" s="125">
        <f t="shared" si="50"/>
        <v>913.68000000000006</v>
      </c>
      <c r="CW31" s="131">
        <f t="shared" si="42"/>
        <v>3989.33</v>
      </c>
      <c r="CX31" s="127">
        <v>3989</v>
      </c>
      <c r="CY31" s="114">
        <v>4.49</v>
      </c>
      <c r="CZ31" s="123">
        <v>124501</v>
      </c>
      <c r="DA31" s="130">
        <f t="shared" si="43"/>
        <v>1029</v>
      </c>
      <c r="DB31" s="132">
        <f t="shared" si="44"/>
        <v>4620.21</v>
      </c>
      <c r="DC31" s="114">
        <v>2.4300000000000002</v>
      </c>
      <c r="DD31" s="123">
        <v>63603</v>
      </c>
      <c r="DE31" s="130">
        <f t="shared" si="45"/>
        <v>515</v>
      </c>
      <c r="DF31" s="132">
        <f t="shared" si="46"/>
        <v>1251.45</v>
      </c>
      <c r="DG31" s="133">
        <f t="shared" si="47"/>
        <v>5871.66</v>
      </c>
      <c r="DH31" s="131"/>
      <c r="DI31" s="114">
        <v>4.49</v>
      </c>
      <c r="DJ31" s="130"/>
      <c r="DK31" s="130"/>
      <c r="DL31" s="132"/>
      <c r="DM31" s="114">
        <v>2.4300000000000002</v>
      </c>
      <c r="DN31" s="130"/>
      <c r="DO31" s="130"/>
      <c r="DP31" s="132"/>
      <c r="DQ31" s="131">
        <f t="shared" si="48"/>
        <v>0</v>
      </c>
      <c r="DR31" s="131"/>
      <c r="DS31" s="134"/>
      <c r="DT31" s="135"/>
      <c r="DU31" s="26"/>
    </row>
    <row r="32" spans="1:125" ht="12.75" customHeight="1">
      <c r="A32" s="82" t="s">
        <v>199</v>
      </c>
      <c r="B32" s="136" t="s">
        <v>200</v>
      </c>
      <c r="C32" s="114">
        <v>4.3499999999999996</v>
      </c>
      <c r="D32" s="137">
        <v>37603</v>
      </c>
      <c r="E32" s="130">
        <f>D32-36138</f>
        <v>1465</v>
      </c>
      <c r="F32" s="125">
        <f t="shared" si="0"/>
        <v>6372.7499999999991</v>
      </c>
      <c r="G32" s="114">
        <v>2.27</v>
      </c>
      <c r="H32" s="137">
        <v>18098</v>
      </c>
      <c r="I32" s="130">
        <f>H32-17337</f>
        <v>761</v>
      </c>
      <c r="J32" s="125">
        <f t="shared" si="1"/>
        <v>1727.47</v>
      </c>
      <c r="K32" s="126">
        <f t="shared" si="51"/>
        <v>8100.2199999999993</v>
      </c>
      <c r="L32" s="127">
        <v>8100</v>
      </c>
      <c r="M32" s="114">
        <v>4.3499999999999996</v>
      </c>
      <c r="N32" s="139">
        <v>38428</v>
      </c>
      <c r="O32" s="129">
        <f t="shared" si="2"/>
        <v>825</v>
      </c>
      <c r="P32" s="125">
        <f t="shared" si="3"/>
        <v>3588.7499999999995</v>
      </c>
      <c r="Q32" s="114">
        <v>2.27</v>
      </c>
      <c r="R32" s="140">
        <v>18519</v>
      </c>
      <c r="S32" s="129">
        <f t="shared" si="4"/>
        <v>421</v>
      </c>
      <c r="T32" s="125">
        <f t="shared" si="5"/>
        <v>955.67</v>
      </c>
      <c r="U32" s="126">
        <f t="shared" si="6"/>
        <v>4544.4199999999992</v>
      </c>
      <c r="V32" s="127">
        <v>4544</v>
      </c>
      <c r="W32" s="114">
        <v>4.3499999999999996</v>
      </c>
      <c r="X32" s="123">
        <v>38921</v>
      </c>
      <c r="Y32" s="130">
        <f t="shared" si="7"/>
        <v>493</v>
      </c>
      <c r="Z32" s="125">
        <f t="shared" si="8"/>
        <v>2144.5499999999997</v>
      </c>
      <c r="AA32" s="114">
        <v>2.27</v>
      </c>
      <c r="AB32" s="123">
        <v>18783</v>
      </c>
      <c r="AC32" s="130">
        <f t="shared" si="9"/>
        <v>264</v>
      </c>
      <c r="AD32" s="125">
        <f t="shared" si="10"/>
        <v>599.28</v>
      </c>
      <c r="AE32" s="126">
        <f t="shared" si="11"/>
        <v>2743.83</v>
      </c>
      <c r="AF32" s="127">
        <v>2744</v>
      </c>
      <c r="AG32" s="114">
        <v>4.3499999999999996</v>
      </c>
      <c r="AH32" s="123">
        <v>39304</v>
      </c>
      <c r="AI32" s="129">
        <f t="shared" si="12"/>
        <v>383</v>
      </c>
      <c r="AJ32" s="125">
        <f t="shared" si="52"/>
        <v>1666.05</v>
      </c>
      <c r="AK32" s="114">
        <v>2.27</v>
      </c>
      <c r="AL32" s="123">
        <v>18985</v>
      </c>
      <c r="AM32" s="129">
        <f t="shared" si="13"/>
        <v>202</v>
      </c>
      <c r="AN32" s="125">
        <f t="shared" si="53"/>
        <v>458.54</v>
      </c>
      <c r="AO32" s="131">
        <f t="shared" si="14"/>
        <v>2124.59</v>
      </c>
      <c r="AP32" s="127">
        <v>2125</v>
      </c>
      <c r="AQ32" s="114">
        <v>4.3499999999999996</v>
      </c>
      <c r="AR32" s="123">
        <v>39810</v>
      </c>
      <c r="AS32" s="130">
        <f t="shared" si="15"/>
        <v>506</v>
      </c>
      <c r="AT32" s="125">
        <f t="shared" si="16"/>
        <v>2201.1</v>
      </c>
      <c r="AU32" s="114">
        <v>2.27</v>
      </c>
      <c r="AV32" s="123">
        <v>19241</v>
      </c>
      <c r="AW32" s="130">
        <f t="shared" si="17"/>
        <v>256</v>
      </c>
      <c r="AX32" s="125">
        <f t="shared" si="18"/>
        <v>581.12</v>
      </c>
      <c r="AY32" s="131">
        <f t="shared" si="19"/>
        <v>2782.22</v>
      </c>
      <c r="AZ32" s="127">
        <v>2782</v>
      </c>
      <c r="BA32" s="114">
        <v>4.3499999999999996</v>
      </c>
      <c r="BB32" s="123">
        <v>39953</v>
      </c>
      <c r="BC32" s="130">
        <f t="shared" si="20"/>
        <v>143</v>
      </c>
      <c r="BD32" s="125">
        <f t="shared" si="21"/>
        <v>622.04999999999995</v>
      </c>
      <c r="BE32" s="114">
        <v>2.27</v>
      </c>
      <c r="BF32" s="123">
        <v>19318</v>
      </c>
      <c r="BG32" s="130">
        <f t="shared" si="22"/>
        <v>77</v>
      </c>
      <c r="BH32" s="125">
        <f t="shared" si="23"/>
        <v>174.79</v>
      </c>
      <c r="BI32" s="131">
        <f t="shared" si="24"/>
        <v>796.83999999999992</v>
      </c>
      <c r="BJ32" s="127">
        <v>797</v>
      </c>
      <c r="BK32" s="114">
        <v>4.49</v>
      </c>
      <c r="BL32" s="123">
        <v>40118</v>
      </c>
      <c r="BM32" s="130">
        <f t="shared" si="25"/>
        <v>165</v>
      </c>
      <c r="BN32" s="125">
        <f t="shared" si="26"/>
        <v>740.85</v>
      </c>
      <c r="BO32" s="114">
        <v>2.4300000000000002</v>
      </c>
      <c r="BP32" s="123">
        <v>19388</v>
      </c>
      <c r="BQ32" s="130">
        <f t="shared" si="27"/>
        <v>70</v>
      </c>
      <c r="BR32" s="125">
        <f t="shared" si="28"/>
        <v>170.10000000000002</v>
      </c>
      <c r="BS32" s="131">
        <f t="shared" si="29"/>
        <v>910.95</v>
      </c>
      <c r="BT32" s="127">
        <v>911</v>
      </c>
      <c r="BU32" s="114">
        <v>4.49</v>
      </c>
      <c r="BV32" s="123">
        <v>40340</v>
      </c>
      <c r="BW32" s="130">
        <f t="shared" si="30"/>
        <v>222</v>
      </c>
      <c r="BX32" s="125">
        <f t="shared" si="31"/>
        <v>996.78000000000009</v>
      </c>
      <c r="BY32" s="114">
        <v>2.4300000000000002</v>
      </c>
      <c r="BZ32" s="123">
        <v>19459</v>
      </c>
      <c r="CA32" s="130">
        <f t="shared" si="32"/>
        <v>71</v>
      </c>
      <c r="CB32" s="125">
        <f t="shared" si="33"/>
        <v>172.53</v>
      </c>
      <c r="CC32" s="131">
        <f t="shared" si="34"/>
        <v>1169.3100000000002</v>
      </c>
      <c r="CD32" s="127">
        <v>1169</v>
      </c>
      <c r="CE32" s="114">
        <v>4.49</v>
      </c>
      <c r="CF32" s="123">
        <v>40579</v>
      </c>
      <c r="CG32" s="129">
        <f t="shared" si="35"/>
        <v>239</v>
      </c>
      <c r="CH32" s="125">
        <f t="shared" si="49"/>
        <v>1073.1100000000001</v>
      </c>
      <c r="CI32" s="114">
        <v>2.4300000000000002</v>
      </c>
      <c r="CJ32" s="123">
        <v>19563</v>
      </c>
      <c r="CK32" s="129">
        <f t="shared" si="36"/>
        <v>104</v>
      </c>
      <c r="CL32" s="125">
        <f t="shared" si="37"/>
        <v>252.72000000000003</v>
      </c>
      <c r="CM32" s="127">
        <f t="shared" si="38"/>
        <v>1325.8300000000002</v>
      </c>
      <c r="CN32" s="127">
        <v>1326</v>
      </c>
      <c r="CO32" s="114">
        <v>4.49</v>
      </c>
      <c r="CP32" s="123">
        <v>41022</v>
      </c>
      <c r="CQ32" s="130">
        <f t="shared" si="39"/>
        <v>443</v>
      </c>
      <c r="CR32" s="125">
        <f t="shared" si="40"/>
        <v>1989.0700000000002</v>
      </c>
      <c r="CS32" s="114">
        <v>2.4300000000000002</v>
      </c>
      <c r="CT32" s="123">
        <v>19734</v>
      </c>
      <c r="CU32" s="130">
        <f t="shared" si="41"/>
        <v>171</v>
      </c>
      <c r="CV32" s="125">
        <f t="shared" si="50"/>
        <v>415.53000000000003</v>
      </c>
      <c r="CW32" s="131">
        <f t="shared" si="42"/>
        <v>2404.6000000000004</v>
      </c>
      <c r="CX32" s="127">
        <v>2405</v>
      </c>
      <c r="CY32" s="114">
        <v>4.49</v>
      </c>
      <c r="CZ32" s="123">
        <v>41636</v>
      </c>
      <c r="DA32" s="130">
        <f t="shared" si="43"/>
        <v>614</v>
      </c>
      <c r="DB32" s="132">
        <f t="shared" si="44"/>
        <v>2756.86</v>
      </c>
      <c r="DC32" s="114">
        <v>2.4300000000000002</v>
      </c>
      <c r="DD32" s="123">
        <v>20028</v>
      </c>
      <c r="DE32" s="130">
        <f t="shared" si="45"/>
        <v>294</v>
      </c>
      <c r="DF32" s="132">
        <f t="shared" si="46"/>
        <v>714.42000000000007</v>
      </c>
      <c r="DG32" s="133">
        <f t="shared" si="47"/>
        <v>3471.28</v>
      </c>
      <c r="DH32" s="131"/>
      <c r="DI32" s="114">
        <v>4.49</v>
      </c>
      <c r="DJ32" s="130"/>
      <c r="DK32" s="130"/>
      <c r="DL32" s="132"/>
      <c r="DM32" s="114">
        <v>2.4300000000000002</v>
      </c>
      <c r="DN32" s="130"/>
      <c r="DO32" s="130"/>
      <c r="DP32" s="132"/>
      <c r="DQ32" s="131">
        <f t="shared" si="48"/>
        <v>0</v>
      </c>
      <c r="DR32" s="131"/>
      <c r="DS32" s="134"/>
      <c r="DT32" s="135"/>
      <c r="DU32" s="26"/>
    </row>
    <row r="33" spans="1:125" ht="12.75" customHeight="1">
      <c r="A33" s="82" t="s">
        <v>202</v>
      </c>
      <c r="B33" s="136" t="s">
        <v>203</v>
      </c>
      <c r="C33" s="114">
        <v>4.3499999999999996</v>
      </c>
      <c r="D33" s="137">
        <v>84122</v>
      </c>
      <c r="E33" s="130">
        <f>D33-81391</f>
        <v>2731</v>
      </c>
      <c r="F33" s="125">
        <f t="shared" si="0"/>
        <v>11879.849999999999</v>
      </c>
      <c r="G33" s="114">
        <v>2.27</v>
      </c>
      <c r="H33" s="137">
        <v>37547</v>
      </c>
      <c r="I33" s="130">
        <f>H33-36332</f>
        <v>1215</v>
      </c>
      <c r="J33" s="125">
        <f t="shared" si="1"/>
        <v>2758.05</v>
      </c>
      <c r="K33" s="126">
        <f t="shared" si="51"/>
        <v>14637.899999999998</v>
      </c>
      <c r="L33" s="127">
        <v>14638</v>
      </c>
      <c r="M33" s="114">
        <v>4.3499999999999996</v>
      </c>
      <c r="N33" s="139">
        <v>85658</v>
      </c>
      <c r="O33" s="129">
        <f t="shared" si="2"/>
        <v>1536</v>
      </c>
      <c r="P33" s="125">
        <f t="shared" si="3"/>
        <v>6681.5999999999995</v>
      </c>
      <c r="Q33" s="114">
        <v>2.27</v>
      </c>
      <c r="R33" s="140">
        <v>38253</v>
      </c>
      <c r="S33" s="129">
        <f t="shared" si="4"/>
        <v>706</v>
      </c>
      <c r="T33" s="125">
        <f t="shared" si="5"/>
        <v>1602.6200000000001</v>
      </c>
      <c r="U33" s="126">
        <f t="shared" si="6"/>
        <v>8284.2199999999993</v>
      </c>
      <c r="V33" s="127">
        <v>8284</v>
      </c>
      <c r="W33" s="114">
        <v>4.3499999999999996</v>
      </c>
      <c r="X33" s="123">
        <v>87394</v>
      </c>
      <c r="Y33" s="130">
        <f t="shared" si="7"/>
        <v>1736</v>
      </c>
      <c r="Z33" s="125">
        <f t="shared" si="8"/>
        <v>7551.5999999999995</v>
      </c>
      <c r="AA33" s="114">
        <v>2.27</v>
      </c>
      <c r="AB33" s="123">
        <v>39001</v>
      </c>
      <c r="AC33" s="130">
        <f t="shared" si="9"/>
        <v>748</v>
      </c>
      <c r="AD33" s="125">
        <f t="shared" si="10"/>
        <v>1697.96</v>
      </c>
      <c r="AE33" s="126">
        <f t="shared" si="11"/>
        <v>9249.56</v>
      </c>
      <c r="AF33" s="127">
        <v>9250</v>
      </c>
      <c r="AG33" s="114">
        <v>4.3499999999999996</v>
      </c>
      <c r="AH33" s="123">
        <v>88076</v>
      </c>
      <c r="AI33" s="129">
        <f t="shared" si="12"/>
        <v>682</v>
      </c>
      <c r="AJ33" s="125">
        <f t="shared" si="52"/>
        <v>2966.7</v>
      </c>
      <c r="AK33" s="114">
        <v>2.27</v>
      </c>
      <c r="AL33" s="123">
        <v>39307</v>
      </c>
      <c r="AM33" s="129">
        <f t="shared" si="13"/>
        <v>306</v>
      </c>
      <c r="AN33" s="125">
        <f t="shared" si="53"/>
        <v>694.62</v>
      </c>
      <c r="AO33" s="131">
        <f t="shared" si="14"/>
        <v>3661.3199999999997</v>
      </c>
      <c r="AP33" s="127">
        <v>3661</v>
      </c>
      <c r="AQ33" s="114">
        <v>4.3499999999999996</v>
      </c>
      <c r="AR33" s="123">
        <v>89202</v>
      </c>
      <c r="AS33" s="130">
        <f t="shared" si="15"/>
        <v>1126</v>
      </c>
      <c r="AT33" s="125">
        <f t="shared" si="16"/>
        <v>4898.0999999999995</v>
      </c>
      <c r="AU33" s="114">
        <v>2.27</v>
      </c>
      <c r="AV33" s="123">
        <v>39672</v>
      </c>
      <c r="AW33" s="130">
        <f t="shared" si="17"/>
        <v>365</v>
      </c>
      <c r="AX33" s="125">
        <f t="shared" si="18"/>
        <v>828.55</v>
      </c>
      <c r="AY33" s="131">
        <f t="shared" si="19"/>
        <v>5726.65</v>
      </c>
      <c r="AZ33" s="127">
        <v>5727</v>
      </c>
      <c r="BA33" s="114">
        <v>4.3499999999999996</v>
      </c>
      <c r="BB33" s="123">
        <v>89908</v>
      </c>
      <c r="BC33" s="130">
        <f t="shared" si="20"/>
        <v>706</v>
      </c>
      <c r="BD33" s="125">
        <f t="shared" si="21"/>
        <v>3071.1</v>
      </c>
      <c r="BE33" s="114">
        <v>2.27</v>
      </c>
      <c r="BF33" s="123">
        <v>39851</v>
      </c>
      <c r="BG33" s="130">
        <f t="shared" si="22"/>
        <v>179</v>
      </c>
      <c r="BH33" s="125">
        <f t="shared" si="23"/>
        <v>406.33</v>
      </c>
      <c r="BI33" s="131">
        <f t="shared" si="24"/>
        <v>3477.43</v>
      </c>
      <c r="BJ33" s="127">
        <v>3477</v>
      </c>
      <c r="BK33" s="114">
        <v>4.49</v>
      </c>
      <c r="BL33" s="123">
        <v>90142</v>
      </c>
      <c r="BM33" s="130">
        <f t="shared" si="25"/>
        <v>234</v>
      </c>
      <c r="BN33" s="125">
        <f t="shared" si="26"/>
        <v>1050.6600000000001</v>
      </c>
      <c r="BO33" s="114">
        <v>2.4300000000000002</v>
      </c>
      <c r="BP33" s="123">
        <v>39940</v>
      </c>
      <c r="BQ33" s="130">
        <f t="shared" si="27"/>
        <v>89</v>
      </c>
      <c r="BR33" s="125">
        <f t="shared" si="28"/>
        <v>216.27</v>
      </c>
      <c r="BS33" s="131">
        <f t="shared" si="29"/>
        <v>1266.93</v>
      </c>
      <c r="BT33" s="127">
        <v>1267</v>
      </c>
      <c r="BU33" s="114">
        <v>4.49</v>
      </c>
      <c r="BV33" s="123">
        <v>90994</v>
      </c>
      <c r="BW33" s="130">
        <f t="shared" si="30"/>
        <v>852</v>
      </c>
      <c r="BX33" s="125">
        <f t="shared" si="31"/>
        <v>3825.48</v>
      </c>
      <c r="BY33" s="114">
        <v>2.4300000000000002</v>
      </c>
      <c r="BZ33" s="123">
        <v>40177</v>
      </c>
      <c r="CA33" s="130">
        <f t="shared" si="32"/>
        <v>237</v>
      </c>
      <c r="CB33" s="125">
        <f t="shared" si="33"/>
        <v>575.91000000000008</v>
      </c>
      <c r="CC33" s="131">
        <f t="shared" si="34"/>
        <v>4401.3900000000003</v>
      </c>
      <c r="CD33" s="127">
        <v>4401</v>
      </c>
      <c r="CE33" s="114">
        <v>4.49</v>
      </c>
      <c r="CF33" s="123">
        <v>91709</v>
      </c>
      <c r="CG33" s="129">
        <f t="shared" si="35"/>
        <v>715</v>
      </c>
      <c r="CH33" s="125">
        <f t="shared" si="49"/>
        <v>3210.3500000000004</v>
      </c>
      <c r="CI33" s="114">
        <v>2.4300000000000002</v>
      </c>
      <c r="CJ33" s="123">
        <v>40416</v>
      </c>
      <c r="CK33" s="129">
        <f t="shared" si="36"/>
        <v>239</v>
      </c>
      <c r="CL33" s="125">
        <f t="shared" si="37"/>
        <v>580.77</v>
      </c>
      <c r="CM33" s="127">
        <f t="shared" si="38"/>
        <v>3791.1200000000003</v>
      </c>
      <c r="CN33" s="127"/>
      <c r="CO33" s="114">
        <v>4.49</v>
      </c>
      <c r="CP33" s="123">
        <v>92743</v>
      </c>
      <c r="CQ33" s="130">
        <f t="shared" si="39"/>
        <v>1034</v>
      </c>
      <c r="CR33" s="125">
        <f t="shared" si="40"/>
        <v>4642.66</v>
      </c>
      <c r="CS33" s="114">
        <v>2.4300000000000002</v>
      </c>
      <c r="CT33" s="123">
        <v>40851</v>
      </c>
      <c r="CU33" s="130">
        <f t="shared" si="41"/>
        <v>435</v>
      </c>
      <c r="CV33" s="125">
        <f t="shared" si="50"/>
        <v>1057.0500000000002</v>
      </c>
      <c r="CW33" s="131">
        <f t="shared" si="42"/>
        <v>5699.71</v>
      </c>
      <c r="CX33" s="131"/>
      <c r="CY33" s="114">
        <v>4.49</v>
      </c>
      <c r="CZ33" s="123">
        <v>94035</v>
      </c>
      <c r="DA33" s="130">
        <f t="shared" si="43"/>
        <v>1292</v>
      </c>
      <c r="DB33" s="132">
        <f t="shared" si="44"/>
        <v>5801.08</v>
      </c>
      <c r="DC33" s="114">
        <v>2.4300000000000002</v>
      </c>
      <c r="DD33" s="123">
        <v>41439</v>
      </c>
      <c r="DE33" s="130">
        <f t="shared" si="45"/>
        <v>588</v>
      </c>
      <c r="DF33" s="132">
        <f t="shared" si="46"/>
        <v>1428.8400000000001</v>
      </c>
      <c r="DG33" s="133">
        <f t="shared" si="47"/>
        <v>7229.92</v>
      </c>
      <c r="DH33" s="131"/>
      <c r="DI33" s="114">
        <v>4.49</v>
      </c>
      <c r="DJ33" s="130"/>
      <c r="DK33" s="130"/>
      <c r="DL33" s="132"/>
      <c r="DM33" s="114">
        <v>2.4300000000000002</v>
      </c>
      <c r="DN33" s="130"/>
      <c r="DO33" s="130"/>
      <c r="DP33" s="132"/>
      <c r="DQ33" s="131">
        <f t="shared" si="48"/>
        <v>0</v>
      </c>
      <c r="DR33" s="131"/>
      <c r="DS33" s="134"/>
      <c r="DT33" s="135"/>
      <c r="DU33" s="26"/>
    </row>
    <row r="34" spans="1:125" ht="12.75" customHeight="1">
      <c r="A34" s="82" t="s">
        <v>204</v>
      </c>
      <c r="B34" s="136" t="s">
        <v>190</v>
      </c>
      <c r="C34" s="114">
        <v>4.3499999999999996</v>
      </c>
      <c r="D34" s="137">
        <v>19155</v>
      </c>
      <c r="E34" s="130">
        <f>D34-18735</f>
        <v>420</v>
      </c>
      <c r="F34" s="125">
        <f t="shared" si="0"/>
        <v>1826.9999999999998</v>
      </c>
      <c r="G34" s="114">
        <v>2.27</v>
      </c>
      <c r="H34" s="137">
        <v>10399</v>
      </c>
      <c r="I34" s="130">
        <f>H34-10168</f>
        <v>231</v>
      </c>
      <c r="J34" s="125">
        <f t="shared" si="1"/>
        <v>524.37</v>
      </c>
      <c r="K34" s="126">
        <f t="shared" si="51"/>
        <v>2351.37</v>
      </c>
      <c r="L34" s="127">
        <v>2351</v>
      </c>
      <c r="M34" s="114">
        <v>4.3499999999999996</v>
      </c>
      <c r="N34" s="139">
        <v>19155</v>
      </c>
      <c r="O34" s="129">
        <f t="shared" si="2"/>
        <v>0</v>
      </c>
      <c r="P34" s="125">
        <f t="shared" si="3"/>
        <v>0</v>
      </c>
      <c r="Q34" s="114">
        <v>2.27</v>
      </c>
      <c r="R34" s="140">
        <v>10399</v>
      </c>
      <c r="S34" s="129">
        <f t="shared" si="4"/>
        <v>0</v>
      </c>
      <c r="T34" s="125">
        <f t="shared" si="5"/>
        <v>0</v>
      </c>
      <c r="U34" s="126">
        <f t="shared" si="6"/>
        <v>0</v>
      </c>
      <c r="V34" s="127">
        <v>0</v>
      </c>
      <c r="W34" s="114">
        <v>4.3499999999999996</v>
      </c>
      <c r="X34" s="123">
        <v>19314</v>
      </c>
      <c r="Y34" s="130">
        <f t="shared" si="7"/>
        <v>159</v>
      </c>
      <c r="Z34" s="125">
        <f t="shared" si="8"/>
        <v>691.65</v>
      </c>
      <c r="AA34" s="114">
        <v>2.27</v>
      </c>
      <c r="AB34" s="123">
        <v>10475</v>
      </c>
      <c r="AC34" s="130">
        <f t="shared" si="9"/>
        <v>76</v>
      </c>
      <c r="AD34" s="125">
        <f t="shared" si="10"/>
        <v>172.52</v>
      </c>
      <c r="AE34" s="126">
        <f t="shared" si="11"/>
        <v>864.17</v>
      </c>
      <c r="AF34" s="127">
        <v>864</v>
      </c>
      <c r="AG34" s="114">
        <v>4.3499999999999996</v>
      </c>
      <c r="AH34" s="123">
        <v>19434</v>
      </c>
      <c r="AI34" s="129">
        <f t="shared" si="12"/>
        <v>120</v>
      </c>
      <c r="AJ34" s="125">
        <f t="shared" si="52"/>
        <v>522</v>
      </c>
      <c r="AK34" s="114">
        <v>2.27</v>
      </c>
      <c r="AL34" s="123">
        <v>10532</v>
      </c>
      <c r="AM34" s="129">
        <f t="shared" si="13"/>
        <v>57</v>
      </c>
      <c r="AN34" s="125">
        <f t="shared" si="53"/>
        <v>129.39000000000001</v>
      </c>
      <c r="AO34" s="131">
        <f t="shared" si="14"/>
        <v>651.39</v>
      </c>
      <c r="AP34" s="127">
        <v>651</v>
      </c>
      <c r="AQ34" s="114">
        <v>4.3499999999999996</v>
      </c>
      <c r="AR34" s="123">
        <v>19490</v>
      </c>
      <c r="AS34" s="130">
        <f t="shared" si="15"/>
        <v>56</v>
      </c>
      <c r="AT34" s="125">
        <f t="shared" si="16"/>
        <v>243.59999999999997</v>
      </c>
      <c r="AU34" s="114">
        <v>2.27</v>
      </c>
      <c r="AV34" s="123">
        <v>10558</v>
      </c>
      <c r="AW34" s="130">
        <f t="shared" si="17"/>
        <v>26</v>
      </c>
      <c r="AX34" s="125">
        <f t="shared" si="18"/>
        <v>59.02</v>
      </c>
      <c r="AY34" s="131">
        <f t="shared" si="19"/>
        <v>302.61999999999995</v>
      </c>
      <c r="AZ34" s="127">
        <v>303</v>
      </c>
      <c r="BA34" s="114">
        <v>4.3499999999999996</v>
      </c>
      <c r="BB34" s="123">
        <v>19535</v>
      </c>
      <c r="BC34" s="130">
        <f t="shared" si="20"/>
        <v>45</v>
      </c>
      <c r="BD34" s="125">
        <f t="shared" si="21"/>
        <v>195.74999999999997</v>
      </c>
      <c r="BE34" s="114">
        <v>2.27</v>
      </c>
      <c r="BF34" s="123">
        <v>10568</v>
      </c>
      <c r="BG34" s="130">
        <f t="shared" si="22"/>
        <v>10</v>
      </c>
      <c r="BH34" s="125">
        <f t="shared" si="23"/>
        <v>22.7</v>
      </c>
      <c r="BI34" s="131">
        <f t="shared" si="24"/>
        <v>218.44999999999996</v>
      </c>
      <c r="BJ34" s="127">
        <v>218</v>
      </c>
      <c r="BK34" s="114">
        <v>4.49</v>
      </c>
      <c r="BL34" s="123">
        <v>19601</v>
      </c>
      <c r="BM34" s="130">
        <f t="shared" si="25"/>
        <v>66</v>
      </c>
      <c r="BN34" s="125">
        <f t="shared" si="26"/>
        <v>296.34000000000003</v>
      </c>
      <c r="BO34" s="114">
        <v>2.4300000000000002</v>
      </c>
      <c r="BP34" s="123">
        <v>10590</v>
      </c>
      <c r="BQ34" s="130">
        <f t="shared" si="27"/>
        <v>22</v>
      </c>
      <c r="BR34" s="125">
        <f t="shared" si="28"/>
        <v>53.46</v>
      </c>
      <c r="BS34" s="131">
        <f t="shared" si="29"/>
        <v>349.8</v>
      </c>
      <c r="BT34" s="127">
        <v>350</v>
      </c>
      <c r="BU34" s="114">
        <v>4.49</v>
      </c>
      <c r="BV34" s="123">
        <v>19663</v>
      </c>
      <c r="BW34" s="130">
        <f t="shared" si="30"/>
        <v>62</v>
      </c>
      <c r="BX34" s="125">
        <f t="shared" si="31"/>
        <v>278.38</v>
      </c>
      <c r="BY34" s="114">
        <v>2.4300000000000002</v>
      </c>
      <c r="BZ34" s="123">
        <v>10612</v>
      </c>
      <c r="CA34" s="130">
        <f t="shared" si="32"/>
        <v>22</v>
      </c>
      <c r="CB34" s="125">
        <f t="shared" si="33"/>
        <v>53.46</v>
      </c>
      <c r="CC34" s="131">
        <f t="shared" si="34"/>
        <v>331.84</v>
      </c>
      <c r="CD34" s="127">
        <v>332</v>
      </c>
      <c r="CE34" s="114">
        <v>4.49</v>
      </c>
      <c r="CF34" s="123">
        <v>19799</v>
      </c>
      <c r="CG34" s="129">
        <f t="shared" si="35"/>
        <v>136</v>
      </c>
      <c r="CH34" s="125">
        <f t="shared" si="49"/>
        <v>610.64</v>
      </c>
      <c r="CI34" s="114">
        <v>2.4300000000000002</v>
      </c>
      <c r="CJ34" s="123">
        <v>10681</v>
      </c>
      <c r="CK34" s="129">
        <f t="shared" si="36"/>
        <v>69</v>
      </c>
      <c r="CL34" s="125">
        <f t="shared" si="37"/>
        <v>167.67000000000002</v>
      </c>
      <c r="CM34" s="127">
        <f t="shared" si="38"/>
        <v>778.31</v>
      </c>
      <c r="CN34" s="127">
        <v>778</v>
      </c>
      <c r="CO34" s="114">
        <v>4.49</v>
      </c>
      <c r="CP34" s="123">
        <v>20111</v>
      </c>
      <c r="CQ34" s="130">
        <f t="shared" si="39"/>
        <v>312</v>
      </c>
      <c r="CR34" s="125">
        <f t="shared" si="40"/>
        <v>1400.88</v>
      </c>
      <c r="CS34" s="114">
        <v>2.4300000000000002</v>
      </c>
      <c r="CT34" s="123">
        <v>10832</v>
      </c>
      <c r="CU34" s="130">
        <f t="shared" si="41"/>
        <v>151</v>
      </c>
      <c r="CV34" s="125">
        <f t="shared" si="50"/>
        <v>366.93</v>
      </c>
      <c r="CW34" s="131">
        <f t="shared" si="42"/>
        <v>1767.8100000000002</v>
      </c>
      <c r="CX34" s="127">
        <v>1768</v>
      </c>
      <c r="CY34" s="114">
        <v>4.49</v>
      </c>
      <c r="CZ34" s="123">
        <v>20526</v>
      </c>
      <c r="DA34" s="130">
        <f t="shared" si="43"/>
        <v>415</v>
      </c>
      <c r="DB34" s="132">
        <f t="shared" si="44"/>
        <v>1863.3500000000001</v>
      </c>
      <c r="DC34" s="114">
        <v>2.4300000000000002</v>
      </c>
      <c r="DD34" s="123">
        <v>11006</v>
      </c>
      <c r="DE34" s="130">
        <f t="shared" si="45"/>
        <v>174</v>
      </c>
      <c r="DF34" s="132">
        <f t="shared" si="46"/>
        <v>422.82000000000005</v>
      </c>
      <c r="DG34" s="133">
        <f t="shared" si="47"/>
        <v>2286.17</v>
      </c>
      <c r="DH34" s="131"/>
      <c r="DI34" s="114">
        <v>4.49</v>
      </c>
      <c r="DJ34" s="130"/>
      <c r="DK34" s="130"/>
      <c r="DL34" s="132"/>
      <c r="DM34" s="114">
        <v>2.4300000000000002</v>
      </c>
      <c r="DN34" s="130"/>
      <c r="DO34" s="130"/>
      <c r="DP34" s="132"/>
      <c r="DQ34" s="131">
        <f t="shared" si="48"/>
        <v>0</v>
      </c>
      <c r="DR34" s="131"/>
      <c r="DS34" s="134"/>
      <c r="DT34" s="135"/>
      <c r="DU34" s="26"/>
    </row>
    <row r="35" spans="1:125" ht="12.75" customHeight="1">
      <c r="A35" s="82" t="s">
        <v>205</v>
      </c>
      <c r="B35" s="136" t="s">
        <v>206</v>
      </c>
      <c r="C35" s="114">
        <v>4.3499999999999996</v>
      </c>
      <c r="D35" s="137">
        <v>42040</v>
      </c>
      <c r="E35" s="130">
        <f>D35-40721</f>
        <v>1319</v>
      </c>
      <c r="F35" s="125">
        <f t="shared" si="0"/>
        <v>5737.65</v>
      </c>
      <c r="G35" s="114">
        <v>2.27</v>
      </c>
      <c r="H35" s="137">
        <v>20855</v>
      </c>
      <c r="I35" s="130">
        <f>H35-20195</f>
        <v>660</v>
      </c>
      <c r="J35" s="125">
        <f t="shared" si="1"/>
        <v>1498.2</v>
      </c>
      <c r="K35" s="126">
        <f t="shared" si="51"/>
        <v>7235.8499999999995</v>
      </c>
      <c r="L35" s="127">
        <v>7236</v>
      </c>
      <c r="M35" s="114">
        <v>4.3499999999999996</v>
      </c>
      <c r="N35" s="139">
        <v>43208</v>
      </c>
      <c r="O35" s="129">
        <f t="shared" si="2"/>
        <v>1168</v>
      </c>
      <c r="P35" s="125">
        <f t="shared" si="3"/>
        <v>5080.7999999999993</v>
      </c>
      <c r="Q35" s="114">
        <v>2.27</v>
      </c>
      <c r="R35" s="140">
        <v>21429</v>
      </c>
      <c r="S35" s="129">
        <f t="shared" si="4"/>
        <v>574</v>
      </c>
      <c r="T35" s="125">
        <f t="shared" si="5"/>
        <v>1302.98</v>
      </c>
      <c r="U35" s="126">
        <f t="shared" si="6"/>
        <v>6383.7799999999988</v>
      </c>
      <c r="V35" s="145">
        <v>6384</v>
      </c>
      <c r="W35" s="114">
        <v>4.3499999999999996</v>
      </c>
      <c r="X35" s="123">
        <v>44021</v>
      </c>
      <c r="Y35" s="130">
        <f t="shared" si="7"/>
        <v>813</v>
      </c>
      <c r="Z35" s="125">
        <f t="shared" si="8"/>
        <v>3536.5499999999997</v>
      </c>
      <c r="AA35" s="114">
        <v>2.27</v>
      </c>
      <c r="AB35" s="123">
        <v>21830</v>
      </c>
      <c r="AC35" s="130">
        <f t="shared" si="9"/>
        <v>401</v>
      </c>
      <c r="AD35" s="125">
        <f t="shared" si="10"/>
        <v>910.27</v>
      </c>
      <c r="AE35" s="126">
        <f t="shared" si="11"/>
        <v>4446.82</v>
      </c>
      <c r="AF35" s="127">
        <v>4447</v>
      </c>
      <c r="AG35" s="114">
        <v>4.3499999999999996</v>
      </c>
      <c r="AH35" s="123">
        <v>44488</v>
      </c>
      <c r="AI35" s="129">
        <f t="shared" si="12"/>
        <v>467</v>
      </c>
      <c r="AJ35" s="125">
        <f t="shared" si="52"/>
        <v>2031.4499999999998</v>
      </c>
      <c r="AK35" s="114">
        <v>2.27</v>
      </c>
      <c r="AL35" s="123">
        <v>22052</v>
      </c>
      <c r="AM35" s="129">
        <f t="shared" si="13"/>
        <v>222</v>
      </c>
      <c r="AN35" s="125">
        <f t="shared" si="53"/>
        <v>503.94</v>
      </c>
      <c r="AO35" s="131">
        <f t="shared" si="14"/>
        <v>2535.39</v>
      </c>
      <c r="AP35" s="127">
        <v>2535</v>
      </c>
      <c r="AQ35" s="114">
        <v>4.3499999999999996</v>
      </c>
      <c r="AR35" s="123">
        <v>44974</v>
      </c>
      <c r="AS35" s="130">
        <f t="shared" si="15"/>
        <v>486</v>
      </c>
      <c r="AT35" s="125">
        <f t="shared" si="16"/>
        <v>2114.1</v>
      </c>
      <c r="AU35" s="114">
        <v>2.27</v>
      </c>
      <c r="AV35" s="123">
        <v>22243</v>
      </c>
      <c r="AW35" s="130">
        <f t="shared" si="17"/>
        <v>191</v>
      </c>
      <c r="AX35" s="125">
        <f t="shared" si="18"/>
        <v>433.57</v>
      </c>
      <c r="AY35" s="131">
        <f t="shared" si="19"/>
        <v>2547.67</v>
      </c>
      <c r="AZ35" s="127">
        <v>2548</v>
      </c>
      <c r="BA35" s="114">
        <v>4.3499999999999996</v>
      </c>
      <c r="BB35" s="123">
        <v>45230</v>
      </c>
      <c r="BC35" s="130">
        <f t="shared" si="20"/>
        <v>256</v>
      </c>
      <c r="BD35" s="125">
        <f t="shared" si="21"/>
        <v>1113.5999999999999</v>
      </c>
      <c r="BE35" s="114">
        <v>2.27</v>
      </c>
      <c r="BF35" s="123">
        <v>22322</v>
      </c>
      <c r="BG35" s="130">
        <f t="shared" si="22"/>
        <v>79</v>
      </c>
      <c r="BH35" s="125">
        <f t="shared" si="23"/>
        <v>179.33</v>
      </c>
      <c r="BI35" s="131">
        <f t="shared" si="24"/>
        <v>1292.9299999999998</v>
      </c>
      <c r="BJ35" s="127">
        <v>1293</v>
      </c>
      <c r="BK35" s="114">
        <v>4.49</v>
      </c>
      <c r="BL35" s="123">
        <v>45507</v>
      </c>
      <c r="BM35" s="130">
        <f t="shared" si="25"/>
        <v>277</v>
      </c>
      <c r="BN35" s="125">
        <f t="shared" si="26"/>
        <v>1243.73</v>
      </c>
      <c r="BO35" s="114">
        <v>2.4300000000000002</v>
      </c>
      <c r="BP35" s="123">
        <v>22397</v>
      </c>
      <c r="BQ35" s="130">
        <f t="shared" si="27"/>
        <v>75</v>
      </c>
      <c r="BR35" s="125">
        <f t="shared" si="28"/>
        <v>182.25</v>
      </c>
      <c r="BS35" s="131">
        <f t="shared" si="29"/>
        <v>1425.98</v>
      </c>
      <c r="BT35" s="127">
        <v>1426</v>
      </c>
      <c r="BU35" s="114">
        <v>4.49</v>
      </c>
      <c r="BV35" s="123">
        <v>45810</v>
      </c>
      <c r="BW35" s="130">
        <f t="shared" si="30"/>
        <v>303</v>
      </c>
      <c r="BX35" s="125">
        <f t="shared" si="31"/>
        <v>1360.47</v>
      </c>
      <c r="BY35" s="114">
        <v>2.4300000000000002</v>
      </c>
      <c r="BZ35" s="123">
        <v>22511</v>
      </c>
      <c r="CA35" s="130">
        <f t="shared" si="32"/>
        <v>114</v>
      </c>
      <c r="CB35" s="125">
        <f t="shared" si="33"/>
        <v>277.02000000000004</v>
      </c>
      <c r="CC35" s="131">
        <f t="shared" si="34"/>
        <v>1637.49</v>
      </c>
      <c r="CD35" s="127">
        <v>1637</v>
      </c>
      <c r="CE35" s="114">
        <v>4.49</v>
      </c>
      <c r="CF35" s="123">
        <v>46108</v>
      </c>
      <c r="CG35" s="129">
        <f t="shared" si="35"/>
        <v>298</v>
      </c>
      <c r="CH35" s="125">
        <f t="shared" si="49"/>
        <v>1338.02</v>
      </c>
      <c r="CI35" s="114">
        <v>2.4300000000000002</v>
      </c>
      <c r="CJ35" s="123">
        <v>22614</v>
      </c>
      <c r="CK35" s="129">
        <f t="shared" si="36"/>
        <v>103</v>
      </c>
      <c r="CL35" s="125">
        <f t="shared" si="37"/>
        <v>250.29000000000002</v>
      </c>
      <c r="CM35" s="127">
        <f t="shared" si="38"/>
        <v>1588.31</v>
      </c>
      <c r="CN35" s="127">
        <v>1588</v>
      </c>
      <c r="CO35" s="114">
        <v>4.49</v>
      </c>
      <c r="CP35" s="123">
        <v>46577</v>
      </c>
      <c r="CQ35" s="130">
        <f t="shared" si="39"/>
        <v>469</v>
      </c>
      <c r="CR35" s="125">
        <f t="shared" si="40"/>
        <v>2105.81</v>
      </c>
      <c r="CS35" s="114">
        <v>2.4300000000000002</v>
      </c>
      <c r="CT35" s="123">
        <v>22848</v>
      </c>
      <c r="CU35" s="130">
        <f t="shared" si="41"/>
        <v>234</v>
      </c>
      <c r="CV35" s="125">
        <f t="shared" si="50"/>
        <v>568.62</v>
      </c>
      <c r="CW35" s="131">
        <f t="shared" si="42"/>
        <v>2674.43</v>
      </c>
      <c r="CX35" s="127">
        <v>2674</v>
      </c>
      <c r="CY35" s="114">
        <v>4.49</v>
      </c>
      <c r="CZ35" s="123">
        <v>47455</v>
      </c>
      <c r="DA35" s="130">
        <f t="shared" si="43"/>
        <v>878</v>
      </c>
      <c r="DB35" s="132">
        <f t="shared" si="44"/>
        <v>3942.2200000000003</v>
      </c>
      <c r="DC35" s="114">
        <v>2.4300000000000002</v>
      </c>
      <c r="DD35" s="123">
        <v>23303</v>
      </c>
      <c r="DE35" s="130">
        <f t="shared" si="45"/>
        <v>455</v>
      </c>
      <c r="DF35" s="132">
        <f t="shared" si="46"/>
        <v>1105.6500000000001</v>
      </c>
      <c r="DG35" s="133">
        <f t="shared" si="47"/>
        <v>5047.8700000000008</v>
      </c>
      <c r="DH35" s="131"/>
      <c r="DI35" s="114">
        <v>4.49</v>
      </c>
      <c r="DJ35" s="130"/>
      <c r="DK35" s="130"/>
      <c r="DL35" s="132"/>
      <c r="DM35" s="114">
        <v>2.4300000000000002</v>
      </c>
      <c r="DN35" s="130"/>
      <c r="DO35" s="130"/>
      <c r="DP35" s="132"/>
      <c r="DQ35" s="131">
        <f t="shared" si="48"/>
        <v>0</v>
      </c>
      <c r="DR35" s="131"/>
      <c r="DS35" s="134"/>
      <c r="DT35" s="135"/>
      <c r="DU35" s="26"/>
    </row>
    <row r="36" spans="1:125" ht="12.75" customHeight="1">
      <c r="A36" s="82" t="s">
        <v>207</v>
      </c>
      <c r="B36" s="136" t="s">
        <v>208</v>
      </c>
      <c r="C36" s="114">
        <v>4.3499999999999996</v>
      </c>
      <c r="D36" s="137">
        <v>58373</v>
      </c>
      <c r="E36" s="130">
        <f>D36-56618</f>
        <v>1755</v>
      </c>
      <c r="F36" s="125">
        <f t="shared" si="0"/>
        <v>7634.2499999999991</v>
      </c>
      <c r="G36" s="114">
        <v>2.27</v>
      </c>
      <c r="H36" s="137">
        <v>30680</v>
      </c>
      <c r="I36" s="130">
        <f>H36-29785</f>
        <v>895</v>
      </c>
      <c r="J36" s="125">
        <f t="shared" si="1"/>
        <v>2031.65</v>
      </c>
      <c r="K36" s="126">
        <f t="shared" si="51"/>
        <v>9665.9</v>
      </c>
      <c r="L36" s="127">
        <v>9666</v>
      </c>
      <c r="M36" s="114">
        <v>4.3499999999999996</v>
      </c>
      <c r="N36" s="139">
        <v>59644</v>
      </c>
      <c r="O36" s="129">
        <f t="shared" si="2"/>
        <v>1271</v>
      </c>
      <c r="P36" s="125">
        <f t="shared" si="3"/>
        <v>5528.8499999999995</v>
      </c>
      <c r="Q36" s="114">
        <v>2.27</v>
      </c>
      <c r="R36" s="140">
        <v>31352</v>
      </c>
      <c r="S36" s="129">
        <f t="shared" si="4"/>
        <v>672</v>
      </c>
      <c r="T36" s="125">
        <f t="shared" si="5"/>
        <v>1525.44</v>
      </c>
      <c r="U36" s="126">
        <f t="shared" si="6"/>
        <v>7054.2899999999991</v>
      </c>
      <c r="V36" s="127">
        <v>7054</v>
      </c>
      <c r="W36" s="114">
        <v>4.3499999999999996</v>
      </c>
      <c r="X36" s="123">
        <v>60897</v>
      </c>
      <c r="Y36" s="130">
        <f t="shared" si="7"/>
        <v>1253</v>
      </c>
      <c r="Z36" s="125">
        <f t="shared" si="8"/>
        <v>5450.5499999999993</v>
      </c>
      <c r="AA36" s="114">
        <v>2.27</v>
      </c>
      <c r="AB36" s="123">
        <v>32046</v>
      </c>
      <c r="AC36" s="130">
        <f t="shared" si="9"/>
        <v>694</v>
      </c>
      <c r="AD36" s="125">
        <f t="shared" si="10"/>
        <v>1575.38</v>
      </c>
      <c r="AE36" s="126">
        <f t="shared" si="11"/>
        <v>7025.9299999999994</v>
      </c>
      <c r="AF36" s="127">
        <v>7026</v>
      </c>
      <c r="AG36" s="114">
        <v>4.3499999999999996</v>
      </c>
      <c r="AH36" s="123">
        <v>61615</v>
      </c>
      <c r="AI36" s="129">
        <f t="shared" si="12"/>
        <v>718</v>
      </c>
      <c r="AJ36" s="125">
        <f t="shared" si="52"/>
        <v>3123.2999999999997</v>
      </c>
      <c r="AK36" s="114">
        <v>2.27</v>
      </c>
      <c r="AL36" s="123">
        <v>32555</v>
      </c>
      <c r="AM36" s="129">
        <f t="shared" si="13"/>
        <v>509</v>
      </c>
      <c r="AN36" s="125">
        <f t="shared" si="53"/>
        <v>1155.43</v>
      </c>
      <c r="AO36" s="131">
        <f t="shared" si="14"/>
        <v>4278.7299999999996</v>
      </c>
      <c r="AP36" s="127">
        <v>4279</v>
      </c>
      <c r="AQ36" s="114">
        <v>4.3499999999999996</v>
      </c>
      <c r="AR36" s="123">
        <v>62287</v>
      </c>
      <c r="AS36" s="130">
        <f t="shared" si="15"/>
        <v>672</v>
      </c>
      <c r="AT36" s="125">
        <f t="shared" si="16"/>
        <v>2923.2</v>
      </c>
      <c r="AU36" s="114">
        <v>2.27</v>
      </c>
      <c r="AV36" s="123">
        <v>32987</v>
      </c>
      <c r="AW36" s="130">
        <f t="shared" si="17"/>
        <v>432</v>
      </c>
      <c r="AX36" s="125">
        <f t="shared" si="18"/>
        <v>980.64</v>
      </c>
      <c r="AY36" s="131">
        <f t="shared" si="19"/>
        <v>3903.8399999999997</v>
      </c>
      <c r="AZ36" s="127">
        <v>3904</v>
      </c>
      <c r="BA36" s="114">
        <v>4.3499999999999996</v>
      </c>
      <c r="BB36" s="123">
        <v>62949</v>
      </c>
      <c r="BC36" s="130">
        <f t="shared" si="20"/>
        <v>662</v>
      </c>
      <c r="BD36" s="125">
        <f t="shared" si="21"/>
        <v>2879.7</v>
      </c>
      <c r="BE36" s="114">
        <v>2.27</v>
      </c>
      <c r="BF36" s="123">
        <v>33333</v>
      </c>
      <c r="BG36" s="130">
        <f t="shared" si="22"/>
        <v>346</v>
      </c>
      <c r="BH36" s="125">
        <f t="shared" si="23"/>
        <v>785.42</v>
      </c>
      <c r="BI36" s="131">
        <f t="shared" si="24"/>
        <v>3665.12</v>
      </c>
      <c r="BJ36" s="127">
        <v>3665</v>
      </c>
      <c r="BK36" s="114">
        <v>4.49</v>
      </c>
      <c r="BL36" s="123">
        <v>63862</v>
      </c>
      <c r="BM36" s="130">
        <f t="shared" si="25"/>
        <v>913</v>
      </c>
      <c r="BN36" s="125">
        <f t="shared" si="26"/>
        <v>4099.37</v>
      </c>
      <c r="BO36" s="114">
        <v>2.4300000000000002</v>
      </c>
      <c r="BP36" s="123">
        <v>33835</v>
      </c>
      <c r="BQ36" s="130">
        <f t="shared" si="27"/>
        <v>502</v>
      </c>
      <c r="BR36" s="125">
        <f t="shared" si="28"/>
        <v>1219.8600000000001</v>
      </c>
      <c r="BS36" s="131">
        <f t="shared" si="29"/>
        <v>5319.23</v>
      </c>
      <c r="BT36" s="127">
        <v>5319</v>
      </c>
      <c r="BU36" s="114">
        <v>4.49</v>
      </c>
      <c r="BV36" s="123">
        <v>64632</v>
      </c>
      <c r="BW36" s="130">
        <f t="shared" si="30"/>
        <v>770</v>
      </c>
      <c r="BX36" s="125">
        <f t="shared" si="31"/>
        <v>3457.3</v>
      </c>
      <c r="BY36" s="114">
        <v>2.4300000000000002</v>
      </c>
      <c r="BZ36" s="123">
        <v>34265</v>
      </c>
      <c r="CA36" s="130">
        <f t="shared" si="32"/>
        <v>430</v>
      </c>
      <c r="CB36" s="125">
        <f t="shared" si="33"/>
        <v>1044.9000000000001</v>
      </c>
      <c r="CC36" s="131">
        <f t="shared" si="34"/>
        <v>4502.2000000000007</v>
      </c>
      <c r="CD36" s="127">
        <v>4502</v>
      </c>
      <c r="CE36" s="114">
        <v>4.49</v>
      </c>
      <c r="CF36" s="123">
        <v>65478</v>
      </c>
      <c r="CG36" s="129">
        <f t="shared" si="35"/>
        <v>846</v>
      </c>
      <c r="CH36" s="125">
        <f t="shared" si="49"/>
        <v>3798.54</v>
      </c>
      <c r="CI36" s="114">
        <v>2.4300000000000002</v>
      </c>
      <c r="CJ36" s="123">
        <v>34770</v>
      </c>
      <c r="CK36" s="129">
        <f t="shared" si="36"/>
        <v>505</v>
      </c>
      <c r="CL36" s="125">
        <f t="shared" si="37"/>
        <v>1227.1500000000001</v>
      </c>
      <c r="CM36" s="127">
        <f t="shared" si="38"/>
        <v>5025.6900000000005</v>
      </c>
      <c r="CN36" s="127">
        <v>5026</v>
      </c>
      <c r="CO36" s="114">
        <v>4.49</v>
      </c>
      <c r="CP36" s="123">
        <v>67010</v>
      </c>
      <c r="CQ36" s="130">
        <f t="shared" si="39"/>
        <v>1532</v>
      </c>
      <c r="CR36" s="125">
        <f t="shared" si="40"/>
        <v>6878.68</v>
      </c>
      <c r="CS36" s="114">
        <v>2.4300000000000002</v>
      </c>
      <c r="CT36" s="123">
        <v>35585</v>
      </c>
      <c r="CU36" s="130">
        <f t="shared" si="41"/>
        <v>815</v>
      </c>
      <c r="CV36" s="125">
        <f t="shared" si="50"/>
        <v>1980.45</v>
      </c>
      <c r="CW36" s="131">
        <f t="shared" si="42"/>
        <v>8859.130000000001</v>
      </c>
      <c r="CX36" s="127">
        <v>8859</v>
      </c>
      <c r="CY36" s="114">
        <v>4.49</v>
      </c>
      <c r="CZ36" s="123">
        <v>68734</v>
      </c>
      <c r="DA36" s="130">
        <f t="shared" si="43"/>
        <v>1724</v>
      </c>
      <c r="DB36" s="132">
        <f t="shared" si="44"/>
        <v>7740.76</v>
      </c>
      <c r="DC36" s="114">
        <v>2.4300000000000002</v>
      </c>
      <c r="DD36" s="123">
        <v>36482</v>
      </c>
      <c r="DE36" s="130">
        <f t="shared" si="45"/>
        <v>897</v>
      </c>
      <c r="DF36" s="132">
        <f t="shared" si="46"/>
        <v>2179.71</v>
      </c>
      <c r="DG36" s="133">
        <f t="shared" si="47"/>
        <v>9920.4700000000012</v>
      </c>
      <c r="DH36" s="127">
        <v>21876</v>
      </c>
      <c r="DI36" s="114">
        <v>4.49</v>
      </c>
      <c r="DJ36" s="130"/>
      <c r="DK36" s="130"/>
      <c r="DL36" s="132"/>
      <c r="DM36" s="114">
        <v>2.4300000000000002</v>
      </c>
      <c r="DN36" s="130"/>
      <c r="DO36" s="130"/>
      <c r="DP36" s="132"/>
      <c r="DQ36" s="131">
        <f t="shared" si="48"/>
        <v>0</v>
      </c>
      <c r="DR36" s="127"/>
      <c r="DS36" s="134"/>
      <c r="DT36" s="135"/>
      <c r="DU36" s="26"/>
    </row>
    <row r="37" spans="1:125" ht="12.75" customHeight="1">
      <c r="A37" s="82" t="s">
        <v>209</v>
      </c>
      <c r="B37" s="136" t="s">
        <v>210</v>
      </c>
      <c r="C37" s="114">
        <v>4.3499999999999996</v>
      </c>
      <c r="D37" s="137">
        <v>36232</v>
      </c>
      <c r="E37" s="130">
        <f>D37-32793</f>
        <v>3439</v>
      </c>
      <c r="F37" s="125">
        <f t="shared" si="0"/>
        <v>14959.65</v>
      </c>
      <c r="G37" s="114">
        <v>2.27</v>
      </c>
      <c r="H37" s="137">
        <v>17558</v>
      </c>
      <c r="I37" s="130">
        <f>H37-15909</f>
        <v>1649</v>
      </c>
      <c r="J37" s="125">
        <f t="shared" si="1"/>
        <v>3743.23</v>
      </c>
      <c r="K37" s="126">
        <f t="shared" si="51"/>
        <v>18702.88</v>
      </c>
      <c r="L37" s="127">
        <v>18703</v>
      </c>
      <c r="M37" s="114">
        <v>4.3499999999999996</v>
      </c>
      <c r="N37" s="139">
        <v>38934</v>
      </c>
      <c r="O37" s="129">
        <f t="shared" si="2"/>
        <v>2702</v>
      </c>
      <c r="P37" s="125">
        <f t="shared" si="3"/>
        <v>11753.699999999999</v>
      </c>
      <c r="Q37" s="114">
        <v>2.27</v>
      </c>
      <c r="R37" s="140">
        <v>18908</v>
      </c>
      <c r="S37" s="129">
        <f t="shared" si="4"/>
        <v>1350</v>
      </c>
      <c r="T37" s="125">
        <f t="shared" si="5"/>
        <v>3064.5</v>
      </c>
      <c r="U37" s="126">
        <f t="shared" si="6"/>
        <v>14818.199999999999</v>
      </c>
      <c r="V37" s="127">
        <v>14818</v>
      </c>
      <c r="W37" s="114">
        <v>4.3499999999999996</v>
      </c>
      <c r="X37" s="123">
        <v>40963</v>
      </c>
      <c r="Y37" s="130">
        <f t="shared" si="7"/>
        <v>2029</v>
      </c>
      <c r="Z37" s="125">
        <f t="shared" si="8"/>
        <v>8826.15</v>
      </c>
      <c r="AA37" s="114">
        <v>2.27</v>
      </c>
      <c r="AB37" s="123">
        <v>19919</v>
      </c>
      <c r="AC37" s="130">
        <f t="shared" si="9"/>
        <v>1011</v>
      </c>
      <c r="AD37" s="125">
        <f t="shared" si="10"/>
        <v>2294.9699999999998</v>
      </c>
      <c r="AE37" s="126">
        <f t="shared" si="11"/>
        <v>11121.119999999999</v>
      </c>
      <c r="AF37" s="127">
        <v>11121</v>
      </c>
      <c r="AG37" s="114">
        <v>4.3499999999999996</v>
      </c>
      <c r="AH37" s="123">
        <v>42751</v>
      </c>
      <c r="AI37" s="129">
        <f t="shared" si="12"/>
        <v>1788</v>
      </c>
      <c r="AJ37" s="125">
        <f t="shared" si="52"/>
        <v>7777.7999999999993</v>
      </c>
      <c r="AK37" s="114">
        <v>2.27</v>
      </c>
      <c r="AL37" s="123">
        <v>20833</v>
      </c>
      <c r="AM37" s="129">
        <f t="shared" si="13"/>
        <v>914</v>
      </c>
      <c r="AN37" s="125">
        <f t="shared" si="53"/>
        <v>2074.7800000000002</v>
      </c>
      <c r="AO37" s="131">
        <f t="shared" si="14"/>
        <v>9852.58</v>
      </c>
      <c r="AP37" s="127">
        <v>9853</v>
      </c>
      <c r="AQ37" s="114">
        <v>4.3499999999999996</v>
      </c>
      <c r="AR37" s="123">
        <v>43624</v>
      </c>
      <c r="AS37" s="130">
        <f t="shared" si="15"/>
        <v>873</v>
      </c>
      <c r="AT37" s="125">
        <f t="shared" si="16"/>
        <v>3797.5499999999997</v>
      </c>
      <c r="AU37" s="114">
        <v>2.27</v>
      </c>
      <c r="AV37" s="123">
        <v>21269</v>
      </c>
      <c r="AW37" s="130">
        <f t="shared" si="17"/>
        <v>436</v>
      </c>
      <c r="AX37" s="125">
        <f t="shared" si="18"/>
        <v>989.72</v>
      </c>
      <c r="AY37" s="131">
        <f t="shared" si="19"/>
        <v>4787.2699999999995</v>
      </c>
      <c r="AZ37" s="127">
        <v>4787</v>
      </c>
      <c r="BA37" s="114">
        <v>4.3499999999999996</v>
      </c>
      <c r="BB37" s="123">
        <v>43958</v>
      </c>
      <c r="BC37" s="130">
        <f t="shared" si="20"/>
        <v>334</v>
      </c>
      <c r="BD37" s="125">
        <f t="shared" si="21"/>
        <v>1452.8999999999999</v>
      </c>
      <c r="BE37" s="114">
        <v>2.27</v>
      </c>
      <c r="BF37" s="123">
        <v>21409</v>
      </c>
      <c r="BG37" s="130">
        <f t="shared" si="22"/>
        <v>140</v>
      </c>
      <c r="BH37" s="125">
        <f t="shared" si="23"/>
        <v>317.8</v>
      </c>
      <c r="BI37" s="131">
        <f t="shared" si="24"/>
        <v>1770.6999999999998</v>
      </c>
      <c r="BJ37" s="127">
        <v>1771</v>
      </c>
      <c r="BK37" s="114">
        <v>4.49</v>
      </c>
      <c r="BL37" s="123">
        <v>44276</v>
      </c>
      <c r="BM37" s="130">
        <f t="shared" si="25"/>
        <v>318</v>
      </c>
      <c r="BN37" s="125">
        <f t="shared" si="26"/>
        <v>1427.8200000000002</v>
      </c>
      <c r="BO37" s="114">
        <v>2.4300000000000002</v>
      </c>
      <c r="BP37" s="123">
        <v>21551</v>
      </c>
      <c r="BQ37" s="130">
        <f t="shared" si="27"/>
        <v>142</v>
      </c>
      <c r="BR37" s="125">
        <f t="shared" si="28"/>
        <v>345.06</v>
      </c>
      <c r="BS37" s="131">
        <f t="shared" si="29"/>
        <v>1772.88</v>
      </c>
      <c r="BT37" s="127">
        <v>1773</v>
      </c>
      <c r="BU37" s="114">
        <v>4.49</v>
      </c>
      <c r="BV37" s="123">
        <v>44847</v>
      </c>
      <c r="BW37" s="130">
        <f t="shared" si="30"/>
        <v>571</v>
      </c>
      <c r="BX37" s="125">
        <f t="shared" si="31"/>
        <v>2563.79</v>
      </c>
      <c r="BY37" s="114">
        <v>2.4300000000000002</v>
      </c>
      <c r="BZ37" s="123">
        <v>21863</v>
      </c>
      <c r="CA37" s="130">
        <f t="shared" si="32"/>
        <v>312</v>
      </c>
      <c r="CB37" s="125">
        <f t="shared" si="33"/>
        <v>758.16000000000008</v>
      </c>
      <c r="CC37" s="131">
        <f t="shared" si="34"/>
        <v>3321.95</v>
      </c>
      <c r="CD37" s="127">
        <v>3322</v>
      </c>
      <c r="CE37" s="114">
        <v>4.49</v>
      </c>
      <c r="CF37" s="123">
        <v>46031</v>
      </c>
      <c r="CG37" s="129">
        <f t="shared" si="35"/>
        <v>1184</v>
      </c>
      <c r="CH37" s="125">
        <f t="shared" si="49"/>
        <v>5316.16</v>
      </c>
      <c r="CI37" s="114">
        <v>2.4300000000000002</v>
      </c>
      <c r="CJ37" s="123">
        <v>22421</v>
      </c>
      <c r="CK37" s="129">
        <f t="shared" si="36"/>
        <v>558</v>
      </c>
      <c r="CL37" s="125">
        <f t="shared" si="37"/>
        <v>1355.94</v>
      </c>
      <c r="CM37" s="127">
        <f t="shared" si="38"/>
        <v>6672.1</v>
      </c>
      <c r="CN37" s="127">
        <v>6672</v>
      </c>
      <c r="CO37" s="114">
        <v>4.49</v>
      </c>
      <c r="CP37" s="123">
        <v>48114</v>
      </c>
      <c r="CQ37" s="130">
        <f t="shared" si="39"/>
        <v>2083</v>
      </c>
      <c r="CR37" s="125">
        <f t="shared" si="40"/>
        <v>9352.67</v>
      </c>
      <c r="CS37" s="114">
        <v>2.4300000000000002</v>
      </c>
      <c r="CT37" s="123">
        <v>23443</v>
      </c>
      <c r="CU37" s="130">
        <f t="shared" si="41"/>
        <v>1022</v>
      </c>
      <c r="CV37" s="125">
        <f t="shared" si="50"/>
        <v>2483.46</v>
      </c>
      <c r="CW37" s="131">
        <f t="shared" si="42"/>
        <v>11836.130000000001</v>
      </c>
      <c r="CX37" s="127">
        <v>11836</v>
      </c>
      <c r="CY37" s="114">
        <v>4.49</v>
      </c>
      <c r="CZ37" s="123">
        <v>50432</v>
      </c>
      <c r="DA37" s="130">
        <f t="shared" si="43"/>
        <v>2318</v>
      </c>
      <c r="DB37" s="132">
        <f t="shared" si="44"/>
        <v>10407.82</v>
      </c>
      <c r="DC37" s="114">
        <v>2.4300000000000002</v>
      </c>
      <c r="DD37" s="123">
        <v>24566</v>
      </c>
      <c r="DE37" s="130">
        <f t="shared" si="45"/>
        <v>1123</v>
      </c>
      <c r="DF37" s="132">
        <f t="shared" si="46"/>
        <v>2728.8900000000003</v>
      </c>
      <c r="DG37" s="133">
        <f t="shared" si="47"/>
        <v>13136.71</v>
      </c>
      <c r="DH37" s="131"/>
      <c r="DI37" s="114">
        <v>4.49</v>
      </c>
      <c r="DJ37" s="130"/>
      <c r="DK37" s="130"/>
      <c r="DL37" s="132"/>
      <c r="DM37" s="114">
        <v>2.4300000000000002</v>
      </c>
      <c r="DN37" s="130"/>
      <c r="DO37" s="130"/>
      <c r="DP37" s="132"/>
      <c r="DQ37" s="131">
        <f t="shared" si="48"/>
        <v>0</v>
      </c>
      <c r="DR37" s="131"/>
      <c r="DS37" s="134"/>
      <c r="DT37" s="135"/>
      <c r="DU37" s="26"/>
    </row>
    <row r="38" spans="1:125" ht="12.75" customHeight="1">
      <c r="A38" s="82" t="s">
        <v>211</v>
      </c>
      <c r="B38" s="136" t="s">
        <v>212</v>
      </c>
      <c r="C38" s="114">
        <v>4.3499999999999996</v>
      </c>
      <c r="D38" s="137">
        <v>12593</v>
      </c>
      <c r="E38" s="130">
        <f>D38-11989</f>
        <v>604</v>
      </c>
      <c r="F38" s="125">
        <f t="shared" si="0"/>
        <v>2627.3999999999996</v>
      </c>
      <c r="G38" s="114">
        <v>2.27</v>
      </c>
      <c r="H38" s="137">
        <v>6144</v>
      </c>
      <c r="I38" s="130">
        <f>H38-5841</f>
        <v>303</v>
      </c>
      <c r="J38" s="125">
        <f t="shared" si="1"/>
        <v>687.81000000000006</v>
      </c>
      <c r="K38" s="126">
        <f t="shared" si="51"/>
        <v>3315.2099999999996</v>
      </c>
      <c r="L38" s="127">
        <v>3315</v>
      </c>
      <c r="M38" s="114">
        <v>4.3499999999999996</v>
      </c>
      <c r="N38" s="139">
        <v>13101</v>
      </c>
      <c r="O38" s="129">
        <f t="shared" si="2"/>
        <v>508</v>
      </c>
      <c r="P38" s="125">
        <f t="shared" si="3"/>
        <v>2209.7999999999997</v>
      </c>
      <c r="Q38" s="114">
        <v>2.27</v>
      </c>
      <c r="R38" s="140">
        <v>6390</v>
      </c>
      <c r="S38" s="129">
        <f t="shared" si="4"/>
        <v>246</v>
      </c>
      <c r="T38" s="125">
        <f t="shared" si="5"/>
        <v>558.41999999999996</v>
      </c>
      <c r="U38" s="126">
        <f t="shared" si="6"/>
        <v>2768.22</v>
      </c>
      <c r="V38" s="138">
        <v>2768</v>
      </c>
      <c r="W38" s="114">
        <v>4.3499999999999996</v>
      </c>
      <c r="X38" s="123">
        <v>13658</v>
      </c>
      <c r="Y38" s="130">
        <f t="shared" si="7"/>
        <v>557</v>
      </c>
      <c r="Z38" s="125">
        <f t="shared" si="8"/>
        <v>2422.9499999999998</v>
      </c>
      <c r="AA38" s="114">
        <v>2.27</v>
      </c>
      <c r="AB38" s="123">
        <v>6651</v>
      </c>
      <c r="AC38" s="130">
        <f t="shared" si="9"/>
        <v>261</v>
      </c>
      <c r="AD38" s="125">
        <f t="shared" si="10"/>
        <v>592.47</v>
      </c>
      <c r="AE38" s="126">
        <f t="shared" si="11"/>
        <v>3015.42</v>
      </c>
      <c r="AF38" s="127">
        <v>3015</v>
      </c>
      <c r="AG38" s="114">
        <v>4.3499999999999996</v>
      </c>
      <c r="AH38" s="123">
        <v>13875</v>
      </c>
      <c r="AI38" s="129">
        <f t="shared" si="12"/>
        <v>217</v>
      </c>
      <c r="AJ38" s="125">
        <f t="shared" si="52"/>
        <v>943.94999999999993</v>
      </c>
      <c r="AK38" s="114">
        <v>2.27</v>
      </c>
      <c r="AL38" s="123">
        <v>6745</v>
      </c>
      <c r="AM38" s="129">
        <f t="shared" si="13"/>
        <v>94</v>
      </c>
      <c r="AN38" s="125">
        <f t="shared" si="53"/>
        <v>213.38</v>
      </c>
      <c r="AO38" s="131">
        <f t="shared" si="14"/>
        <v>1157.33</v>
      </c>
      <c r="AP38" s="127">
        <v>1157</v>
      </c>
      <c r="AQ38" s="114">
        <v>4.3499999999999996</v>
      </c>
      <c r="AR38" s="123">
        <v>14109</v>
      </c>
      <c r="AS38" s="130">
        <f t="shared" si="15"/>
        <v>234</v>
      </c>
      <c r="AT38" s="125">
        <f t="shared" si="16"/>
        <v>1017.8999999999999</v>
      </c>
      <c r="AU38" s="114">
        <v>2.27</v>
      </c>
      <c r="AV38" s="123">
        <v>6852</v>
      </c>
      <c r="AW38" s="130">
        <f t="shared" si="17"/>
        <v>107</v>
      </c>
      <c r="AX38" s="125">
        <f t="shared" si="18"/>
        <v>242.89000000000001</v>
      </c>
      <c r="AY38" s="131">
        <f t="shared" si="19"/>
        <v>1260.79</v>
      </c>
      <c r="AZ38" s="127">
        <v>1261</v>
      </c>
      <c r="BA38" s="114">
        <v>4.3499999999999996</v>
      </c>
      <c r="BB38" s="123">
        <v>14467</v>
      </c>
      <c r="BC38" s="130">
        <f t="shared" si="20"/>
        <v>358</v>
      </c>
      <c r="BD38" s="125">
        <f t="shared" si="21"/>
        <v>1557.3</v>
      </c>
      <c r="BE38" s="114">
        <v>2.27</v>
      </c>
      <c r="BF38" s="123">
        <v>7036</v>
      </c>
      <c r="BG38" s="130">
        <f t="shared" si="22"/>
        <v>184</v>
      </c>
      <c r="BH38" s="125">
        <f t="shared" si="23"/>
        <v>417.68</v>
      </c>
      <c r="BI38" s="131">
        <f t="shared" si="24"/>
        <v>1974.98</v>
      </c>
      <c r="BJ38" s="127">
        <v>1975</v>
      </c>
      <c r="BK38" s="114">
        <v>4.49</v>
      </c>
      <c r="BL38" s="123">
        <v>14635</v>
      </c>
      <c r="BM38" s="130">
        <f t="shared" si="25"/>
        <v>168</v>
      </c>
      <c r="BN38" s="125">
        <f t="shared" si="26"/>
        <v>754.32</v>
      </c>
      <c r="BO38" s="114">
        <v>2.4300000000000002</v>
      </c>
      <c r="BP38" s="123">
        <v>7124</v>
      </c>
      <c r="BQ38" s="130">
        <f t="shared" si="27"/>
        <v>88</v>
      </c>
      <c r="BR38" s="125">
        <f t="shared" si="28"/>
        <v>213.84</v>
      </c>
      <c r="BS38" s="131">
        <f t="shared" si="29"/>
        <v>968.16000000000008</v>
      </c>
      <c r="BT38" s="127">
        <v>968</v>
      </c>
      <c r="BU38" s="114">
        <v>4.49</v>
      </c>
      <c r="BV38" s="123">
        <v>14723</v>
      </c>
      <c r="BW38" s="130">
        <f t="shared" si="30"/>
        <v>88</v>
      </c>
      <c r="BX38" s="125">
        <f t="shared" si="31"/>
        <v>395.12</v>
      </c>
      <c r="BY38" s="114">
        <v>2.4300000000000002</v>
      </c>
      <c r="BZ38" s="123">
        <v>7155</v>
      </c>
      <c r="CA38" s="130">
        <f t="shared" si="32"/>
        <v>31</v>
      </c>
      <c r="CB38" s="125">
        <f t="shared" si="33"/>
        <v>75.33</v>
      </c>
      <c r="CC38" s="131">
        <f t="shared" si="34"/>
        <v>470.45</v>
      </c>
      <c r="CD38" s="127">
        <v>470</v>
      </c>
      <c r="CE38" s="114">
        <v>4.49</v>
      </c>
      <c r="CF38" s="123">
        <v>14898</v>
      </c>
      <c r="CG38" s="129">
        <f t="shared" si="35"/>
        <v>175</v>
      </c>
      <c r="CH38" s="125">
        <f t="shared" si="49"/>
        <v>785.75</v>
      </c>
      <c r="CI38" s="114">
        <v>2.4300000000000002</v>
      </c>
      <c r="CJ38" s="123">
        <v>7229</v>
      </c>
      <c r="CK38" s="129">
        <f t="shared" si="36"/>
        <v>74</v>
      </c>
      <c r="CL38" s="125">
        <f t="shared" si="37"/>
        <v>179.82000000000002</v>
      </c>
      <c r="CM38" s="127">
        <f t="shared" si="38"/>
        <v>965.57</v>
      </c>
      <c r="CN38" s="127">
        <v>966</v>
      </c>
      <c r="CO38" s="114">
        <v>4.49</v>
      </c>
      <c r="CP38" s="123">
        <v>15022</v>
      </c>
      <c r="CQ38" s="130">
        <f t="shared" si="39"/>
        <v>124</v>
      </c>
      <c r="CR38" s="125">
        <f t="shared" si="40"/>
        <v>556.76</v>
      </c>
      <c r="CS38" s="114">
        <v>2.4300000000000002</v>
      </c>
      <c r="CT38" s="123">
        <v>7289</v>
      </c>
      <c r="CU38" s="130">
        <f t="shared" si="41"/>
        <v>60</v>
      </c>
      <c r="CV38" s="125">
        <f t="shared" si="50"/>
        <v>145.80000000000001</v>
      </c>
      <c r="CW38" s="131">
        <f t="shared" si="42"/>
        <v>702.56</v>
      </c>
      <c r="CX38" s="127">
        <v>703</v>
      </c>
      <c r="CY38" s="114">
        <v>4.49</v>
      </c>
      <c r="CZ38" s="123">
        <v>15539</v>
      </c>
      <c r="DA38" s="130">
        <f t="shared" si="43"/>
        <v>517</v>
      </c>
      <c r="DB38" s="132">
        <f t="shared" si="44"/>
        <v>2321.33</v>
      </c>
      <c r="DC38" s="114">
        <v>2.4300000000000002</v>
      </c>
      <c r="DD38" s="123">
        <v>7540</v>
      </c>
      <c r="DE38" s="130">
        <f t="shared" si="45"/>
        <v>251</v>
      </c>
      <c r="DF38" s="132">
        <f t="shared" si="46"/>
        <v>609.93000000000006</v>
      </c>
      <c r="DG38" s="133">
        <f t="shared" si="47"/>
        <v>2931.26</v>
      </c>
      <c r="DH38" s="127"/>
      <c r="DI38" s="114">
        <v>4.49</v>
      </c>
      <c r="DJ38" s="130"/>
      <c r="DK38" s="130"/>
      <c r="DL38" s="132"/>
      <c r="DM38" s="114">
        <v>2.4300000000000002</v>
      </c>
      <c r="DN38" s="130"/>
      <c r="DO38" s="130"/>
      <c r="DP38" s="132"/>
      <c r="DQ38" s="131">
        <f t="shared" si="48"/>
        <v>0</v>
      </c>
      <c r="DR38" s="131"/>
      <c r="DS38" s="134"/>
      <c r="DT38" s="135"/>
      <c r="DU38" s="26"/>
    </row>
    <row r="39" spans="1:125" ht="12.75" customHeight="1">
      <c r="A39" s="82" t="s">
        <v>213</v>
      </c>
      <c r="B39" s="136" t="s">
        <v>214</v>
      </c>
      <c r="C39" s="114">
        <v>4.3499999999999996</v>
      </c>
      <c r="D39" s="137">
        <v>18206</v>
      </c>
      <c r="E39" s="130">
        <f>D39-18205</f>
        <v>1</v>
      </c>
      <c r="F39" s="125">
        <f t="shared" si="0"/>
        <v>4.3499999999999996</v>
      </c>
      <c r="G39" s="114">
        <v>2.27</v>
      </c>
      <c r="H39" s="142">
        <v>8429</v>
      </c>
      <c r="I39" s="130">
        <f>H39-8429</f>
        <v>0</v>
      </c>
      <c r="J39" s="125">
        <f t="shared" si="1"/>
        <v>0</v>
      </c>
      <c r="K39" s="126">
        <f t="shared" si="51"/>
        <v>4.3499999999999996</v>
      </c>
      <c r="L39" s="127">
        <v>0</v>
      </c>
      <c r="M39" s="114">
        <v>4.3499999999999996</v>
      </c>
      <c r="N39" s="139">
        <v>18206</v>
      </c>
      <c r="O39" s="129">
        <f t="shared" si="2"/>
        <v>0</v>
      </c>
      <c r="P39" s="125">
        <f t="shared" si="3"/>
        <v>0</v>
      </c>
      <c r="Q39" s="114">
        <v>2.27</v>
      </c>
      <c r="R39" s="140">
        <v>8429</v>
      </c>
      <c r="S39" s="129">
        <f t="shared" si="4"/>
        <v>0</v>
      </c>
      <c r="T39" s="125">
        <f t="shared" si="5"/>
        <v>0</v>
      </c>
      <c r="U39" s="126">
        <f t="shared" si="6"/>
        <v>0</v>
      </c>
      <c r="V39" s="127">
        <v>0</v>
      </c>
      <c r="W39" s="114">
        <v>4.3499999999999996</v>
      </c>
      <c r="X39" s="123">
        <v>18207</v>
      </c>
      <c r="Y39" s="130">
        <f t="shared" si="7"/>
        <v>1</v>
      </c>
      <c r="Z39" s="125">
        <f t="shared" si="8"/>
        <v>4.3499999999999996</v>
      </c>
      <c r="AA39" s="114">
        <v>2.27</v>
      </c>
      <c r="AB39" s="123">
        <v>8429</v>
      </c>
      <c r="AC39" s="130">
        <f t="shared" si="9"/>
        <v>0</v>
      </c>
      <c r="AD39" s="125">
        <f t="shared" si="10"/>
        <v>0</v>
      </c>
      <c r="AE39" s="126">
        <f t="shared" si="11"/>
        <v>4.3499999999999996</v>
      </c>
      <c r="AF39" s="127">
        <v>0</v>
      </c>
      <c r="AG39" s="114">
        <v>4.3499999999999996</v>
      </c>
      <c r="AH39" s="123">
        <v>18207</v>
      </c>
      <c r="AI39" s="129">
        <f t="shared" si="12"/>
        <v>0</v>
      </c>
      <c r="AJ39" s="125">
        <f t="shared" si="52"/>
        <v>0</v>
      </c>
      <c r="AK39" s="114">
        <v>2.27</v>
      </c>
      <c r="AL39" s="123">
        <v>8429</v>
      </c>
      <c r="AM39" s="129">
        <f t="shared" si="13"/>
        <v>0</v>
      </c>
      <c r="AN39" s="125">
        <f t="shared" si="53"/>
        <v>0</v>
      </c>
      <c r="AO39" s="131">
        <f t="shared" si="14"/>
        <v>0</v>
      </c>
      <c r="AP39" s="127">
        <v>0</v>
      </c>
      <c r="AQ39" s="114">
        <v>4.3499999999999996</v>
      </c>
      <c r="AR39" s="123">
        <v>18207</v>
      </c>
      <c r="AS39" s="130">
        <f t="shared" si="15"/>
        <v>0</v>
      </c>
      <c r="AT39" s="125">
        <f t="shared" si="16"/>
        <v>0</v>
      </c>
      <c r="AU39" s="114">
        <v>2.27</v>
      </c>
      <c r="AV39" s="123">
        <v>8429</v>
      </c>
      <c r="AW39" s="130">
        <f t="shared" si="17"/>
        <v>0</v>
      </c>
      <c r="AX39" s="125">
        <f t="shared" si="18"/>
        <v>0</v>
      </c>
      <c r="AY39" s="131">
        <f t="shared" si="19"/>
        <v>0</v>
      </c>
      <c r="AZ39" s="127">
        <v>0</v>
      </c>
      <c r="BA39" s="114">
        <v>4.3499999999999996</v>
      </c>
      <c r="BB39" s="123">
        <v>18207</v>
      </c>
      <c r="BC39" s="130">
        <f t="shared" si="20"/>
        <v>0</v>
      </c>
      <c r="BD39" s="125">
        <f t="shared" si="21"/>
        <v>0</v>
      </c>
      <c r="BE39" s="114">
        <v>2.27</v>
      </c>
      <c r="BF39" s="123">
        <v>8429</v>
      </c>
      <c r="BG39" s="130">
        <f t="shared" si="22"/>
        <v>0</v>
      </c>
      <c r="BH39" s="125">
        <f t="shared" si="23"/>
        <v>0</v>
      </c>
      <c r="BI39" s="131">
        <f t="shared" si="24"/>
        <v>0</v>
      </c>
      <c r="BJ39" s="127">
        <v>0</v>
      </c>
      <c r="BK39" s="114">
        <v>4.49</v>
      </c>
      <c r="BL39" s="123">
        <v>18207</v>
      </c>
      <c r="BM39" s="130">
        <f t="shared" si="25"/>
        <v>0</v>
      </c>
      <c r="BN39" s="125">
        <f t="shared" si="26"/>
        <v>0</v>
      </c>
      <c r="BO39" s="114">
        <v>2.4300000000000002</v>
      </c>
      <c r="BP39" s="123">
        <v>8429</v>
      </c>
      <c r="BQ39" s="130">
        <f t="shared" si="27"/>
        <v>0</v>
      </c>
      <c r="BR39" s="125">
        <f t="shared" si="28"/>
        <v>0</v>
      </c>
      <c r="BS39" s="131">
        <f t="shared" si="29"/>
        <v>0</v>
      </c>
      <c r="BT39" s="127">
        <v>0</v>
      </c>
      <c r="BU39" s="114">
        <v>4.49</v>
      </c>
      <c r="BV39" s="123">
        <v>18207</v>
      </c>
      <c r="BW39" s="130">
        <f t="shared" si="30"/>
        <v>0</v>
      </c>
      <c r="BX39" s="125">
        <f t="shared" si="31"/>
        <v>0</v>
      </c>
      <c r="BY39" s="114">
        <v>2.4300000000000002</v>
      </c>
      <c r="BZ39" s="123">
        <v>8429</v>
      </c>
      <c r="CA39" s="130">
        <f t="shared" si="32"/>
        <v>0</v>
      </c>
      <c r="CB39" s="125">
        <f t="shared" si="33"/>
        <v>0</v>
      </c>
      <c r="CC39" s="131">
        <f t="shared" si="34"/>
        <v>0</v>
      </c>
      <c r="CD39" s="127">
        <v>0</v>
      </c>
      <c r="CE39" s="114">
        <v>4.49</v>
      </c>
      <c r="CF39" s="123">
        <v>18207</v>
      </c>
      <c r="CG39" s="129">
        <f t="shared" si="35"/>
        <v>0</v>
      </c>
      <c r="CH39" s="125">
        <f t="shared" si="49"/>
        <v>0</v>
      </c>
      <c r="CI39" s="114">
        <v>2.4300000000000002</v>
      </c>
      <c r="CJ39" s="123">
        <v>8429</v>
      </c>
      <c r="CK39" s="129">
        <f t="shared" si="36"/>
        <v>0</v>
      </c>
      <c r="CL39" s="125">
        <f t="shared" si="37"/>
        <v>0</v>
      </c>
      <c r="CM39" s="127">
        <f t="shared" si="38"/>
        <v>0</v>
      </c>
      <c r="CN39" s="127">
        <v>0</v>
      </c>
      <c r="CO39" s="114">
        <v>4.49</v>
      </c>
      <c r="CP39" s="123">
        <v>18207</v>
      </c>
      <c r="CQ39" s="130">
        <f t="shared" si="39"/>
        <v>0</v>
      </c>
      <c r="CR39" s="125">
        <f t="shared" si="40"/>
        <v>0</v>
      </c>
      <c r="CS39" s="114">
        <v>2.4300000000000002</v>
      </c>
      <c r="CT39" s="123">
        <v>8429</v>
      </c>
      <c r="CU39" s="130">
        <f t="shared" si="41"/>
        <v>0</v>
      </c>
      <c r="CV39" s="125">
        <f t="shared" si="50"/>
        <v>0</v>
      </c>
      <c r="CW39" s="131">
        <f t="shared" si="42"/>
        <v>0</v>
      </c>
      <c r="CX39" s="127">
        <v>0</v>
      </c>
      <c r="CY39" s="114">
        <v>4.49</v>
      </c>
      <c r="CZ39" s="123">
        <v>18207</v>
      </c>
      <c r="DA39" s="130">
        <f t="shared" si="43"/>
        <v>0</v>
      </c>
      <c r="DB39" s="132">
        <f t="shared" si="44"/>
        <v>0</v>
      </c>
      <c r="DC39" s="114">
        <v>2.4300000000000002</v>
      </c>
      <c r="DD39" s="123">
        <v>8429</v>
      </c>
      <c r="DE39" s="130">
        <f t="shared" si="45"/>
        <v>0</v>
      </c>
      <c r="DF39" s="132">
        <f t="shared" si="46"/>
        <v>0</v>
      </c>
      <c r="DG39" s="133">
        <f t="shared" si="47"/>
        <v>0</v>
      </c>
      <c r="DH39" s="131"/>
      <c r="DI39" s="114">
        <v>4.49</v>
      </c>
      <c r="DJ39" s="130"/>
      <c r="DK39" s="130"/>
      <c r="DL39" s="132"/>
      <c r="DM39" s="114">
        <v>2.4300000000000002</v>
      </c>
      <c r="DN39" s="130"/>
      <c r="DO39" s="130"/>
      <c r="DP39" s="132"/>
      <c r="DQ39" s="131">
        <f t="shared" si="48"/>
        <v>0</v>
      </c>
      <c r="DR39" s="131"/>
      <c r="DS39" s="134"/>
      <c r="DT39" s="135"/>
      <c r="DU39" s="26"/>
    </row>
    <row r="40" spans="1:125" ht="12.75" customHeight="1">
      <c r="A40" s="82" t="s">
        <v>216</v>
      </c>
      <c r="B40" s="136" t="s">
        <v>217</v>
      </c>
      <c r="C40" s="114">
        <v>4.3499999999999996</v>
      </c>
      <c r="D40" s="137">
        <v>37867</v>
      </c>
      <c r="E40" s="130">
        <f>D40-36634</f>
        <v>1233</v>
      </c>
      <c r="F40" s="125">
        <f t="shared" si="0"/>
        <v>5363.5499999999993</v>
      </c>
      <c r="G40" s="114">
        <v>2.27</v>
      </c>
      <c r="H40" s="137">
        <v>19320</v>
      </c>
      <c r="I40" s="130">
        <f>H40-18720</f>
        <v>600</v>
      </c>
      <c r="J40" s="125">
        <f t="shared" si="1"/>
        <v>1362</v>
      </c>
      <c r="K40" s="126">
        <f t="shared" si="51"/>
        <v>6725.5499999999993</v>
      </c>
      <c r="L40" s="127">
        <v>6726</v>
      </c>
      <c r="M40" s="114">
        <v>4.3499999999999996</v>
      </c>
      <c r="N40" s="139">
        <v>38753</v>
      </c>
      <c r="O40" s="129">
        <f t="shared" si="2"/>
        <v>886</v>
      </c>
      <c r="P40" s="125">
        <f t="shared" si="3"/>
        <v>3854.1</v>
      </c>
      <c r="Q40" s="114">
        <v>2.27</v>
      </c>
      <c r="R40" s="140">
        <v>19786</v>
      </c>
      <c r="S40" s="129">
        <f t="shared" si="4"/>
        <v>466</v>
      </c>
      <c r="T40" s="125">
        <f t="shared" si="5"/>
        <v>1057.82</v>
      </c>
      <c r="U40" s="126">
        <f t="shared" si="6"/>
        <v>4911.92</v>
      </c>
      <c r="V40" s="127">
        <v>4912</v>
      </c>
      <c r="W40" s="114">
        <v>4.3499999999999996</v>
      </c>
      <c r="X40" s="123">
        <v>39538</v>
      </c>
      <c r="Y40" s="130">
        <f t="shared" si="7"/>
        <v>785</v>
      </c>
      <c r="Z40" s="125">
        <f t="shared" si="8"/>
        <v>3414.7499999999995</v>
      </c>
      <c r="AA40" s="114">
        <v>2.27</v>
      </c>
      <c r="AB40" s="123">
        <v>20263</v>
      </c>
      <c r="AC40" s="130">
        <f t="shared" si="9"/>
        <v>477</v>
      </c>
      <c r="AD40" s="125">
        <f t="shared" si="10"/>
        <v>1082.79</v>
      </c>
      <c r="AE40" s="126">
        <f t="shared" si="11"/>
        <v>4497.5399999999991</v>
      </c>
      <c r="AF40" s="127">
        <v>4498</v>
      </c>
      <c r="AG40" s="114">
        <v>4.3499999999999996</v>
      </c>
      <c r="AH40" s="123">
        <v>40043</v>
      </c>
      <c r="AI40" s="129">
        <f t="shared" si="12"/>
        <v>505</v>
      </c>
      <c r="AJ40" s="125">
        <f t="shared" si="52"/>
        <v>2196.75</v>
      </c>
      <c r="AK40" s="114">
        <v>2.27</v>
      </c>
      <c r="AL40" s="123">
        <v>20630</v>
      </c>
      <c r="AM40" s="129">
        <f t="shared" si="13"/>
        <v>367</v>
      </c>
      <c r="AN40" s="125">
        <f t="shared" si="53"/>
        <v>833.09</v>
      </c>
      <c r="AO40" s="131">
        <f t="shared" si="14"/>
        <v>3029.84</v>
      </c>
      <c r="AP40" s="127">
        <v>3030</v>
      </c>
      <c r="AQ40" s="114">
        <v>4.3499999999999996</v>
      </c>
      <c r="AR40" s="123">
        <v>40418</v>
      </c>
      <c r="AS40" s="130">
        <f t="shared" si="15"/>
        <v>375</v>
      </c>
      <c r="AT40" s="125">
        <f t="shared" si="16"/>
        <v>1631.2499999999998</v>
      </c>
      <c r="AU40" s="114">
        <v>2.27</v>
      </c>
      <c r="AV40" s="123">
        <v>20875</v>
      </c>
      <c r="AW40" s="130">
        <f t="shared" si="17"/>
        <v>245</v>
      </c>
      <c r="AX40" s="125">
        <f t="shared" si="18"/>
        <v>556.15</v>
      </c>
      <c r="AY40" s="131">
        <f t="shared" si="19"/>
        <v>2187.3999999999996</v>
      </c>
      <c r="AZ40" s="127">
        <v>2187</v>
      </c>
      <c r="BA40" s="114">
        <v>4.3499999999999996</v>
      </c>
      <c r="BB40" s="123">
        <v>40618</v>
      </c>
      <c r="BC40" s="130">
        <f t="shared" si="20"/>
        <v>200</v>
      </c>
      <c r="BD40" s="125">
        <f t="shared" si="21"/>
        <v>869.99999999999989</v>
      </c>
      <c r="BE40" s="114">
        <v>2.27</v>
      </c>
      <c r="BF40" s="123">
        <v>20972</v>
      </c>
      <c r="BG40" s="130">
        <f t="shared" si="22"/>
        <v>97</v>
      </c>
      <c r="BH40" s="125">
        <f t="shared" si="23"/>
        <v>220.19</v>
      </c>
      <c r="BI40" s="131">
        <f t="shared" si="24"/>
        <v>1090.1899999999998</v>
      </c>
      <c r="BJ40" s="127">
        <v>1090</v>
      </c>
      <c r="BK40" s="114">
        <v>4.49</v>
      </c>
      <c r="BL40" s="123">
        <v>40794</v>
      </c>
      <c r="BM40" s="130">
        <f t="shared" si="25"/>
        <v>176</v>
      </c>
      <c r="BN40" s="125">
        <f t="shared" si="26"/>
        <v>790.24</v>
      </c>
      <c r="BO40" s="114">
        <v>2.4300000000000002</v>
      </c>
      <c r="BP40" s="123">
        <v>21056</v>
      </c>
      <c r="BQ40" s="130">
        <f t="shared" si="27"/>
        <v>84</v>
      </c>
      <c r="BR40" s="125">
        <f t="shared" si="28"/>
        <v>204.12</v>
      </c>
      <c r="BS40" s="131">
        <f t="shared" si="29"/>
        <v>994.36</v>
      </c>
      <c r="BT40" s="127">
        <v>994</v>
      </c>
      <c r="BU40" s="114">
        <v>4.49</v>
      </c>
      <c r="BV40" s="123">
        <v>40970</v>
      </c>
      <c r="BW40" s="130">
        <f t="shared" si="30"/>
        <v>176</v>
      </c>
      <c r="BX40" s="125">
        <f t="shared" si="31"/>
        <v>790.24</v>
      </c>
      <c r="BY40" s="114">
        <v>2.4300000000000002</v>
      </c>
      <c r="BZ40" s="123">
        <v>21142</v>
      </c>
      <c r="CA40" s="130">
        <f t="shared" si="32"/>
        <v>86</v>
      </c>
      <c r="CB40" s="125">
        <f t="shared" si="33"/>
        <v>208.98000000000002</v>
      </c>
      <c r="CC40" s="131">
        <f t="shared" si="34"/>
        <v>999.22</v>
      </c>
      <c r="CD40" s="127">
        <v>999</v>
      </c>
      <c r="CE40" s="114">
        <v>4.49</v>
      </c>
      <c r="CF40" s="123">
        <v>41340</v>
      </c>
      <c r="CG40" s="129">
        <f t="shared" si="35"/>
        <v>370</v>
      </c>
      <c r="CH40" s="125">
        <f t="shared" si="49"/>
        <v>1661.3000000000002</v>
      </c>
      <c r="CI40" s="114">
        <v>2.4300000000000002</v>
      </c>
      <c r="CJ40" s="123">
        <v>21327</v>
      </c>
      <c r="CK40" s="129">
        <f t="shared" si="36"/>
        <v>185</v>
      </c>
      <c r="CL40" s="125">
        <f t="shared" si="37"/>
        <v>449.55</v>
      </c>
      <c r="CM40" s="127">
        <f t="shared" si="38"/>
        <v>2110.8500000000004</v>
      </c>
      <c r="CN40" s="127">
        <v>2111</v>
      </c>
      <c r="CO40" s="114">
        <v>4.49</v>
      </c>
      <c r="CP40" s="123">
        <v>41950</v>
      </c>
      <c r="CQ40" s="130">
        <f t="shared" si="39"/>
        <v>610</v>
      </c>
      <c r="CR40" s="125">
        <f t="shared" si="40"/>
        <v>2738.9</v>
      </c>
      <c r="CS40" s="114">
        <v>2.4300000000000002</v>
      </c>
      <c r="CT40" s="123">
        <v>21672</v>
      </c>
      <c r="CU40" s="130">
        <f t="shared" si="41"/>
        <v>345</v>
      </c>
      <c r="CV40" s="125">
        <f t="shared" si="50"/>
        <v>838.35</v>
      </c>
      <c r="CW40" s="131">
        <f t="shared" si="42"/>
        <v>3577.25</v>
      </c>
      <c r="CX40" s="127">
        <v>3577</v>
      </c>
      <c r="CY40" s="114">
        <v>4.49</v>
      </c>
      <c r="CZ40" s="123">
        <v>42700</v>
      </c>
      <c r="DA40" s="130">
        <f t="shared" si="43"/>
        <v>750</v>
      </c>
      <c r="DB40" s="132">
        <f t="shared" si="44"/>
        <v>3367.5</v>
      </c>
      <c r="DC40" s="114">
        <v>2.4300000000000002</v>
      </c>
      <c r="DD40" s="123">
        <v>22038</v>
      </c>
      <c r="DE40" s="130">
        <f t="shared" si="45"/>
        <v>366</v>
      </c>
      <c r="DF40" s="132">
        <f t="shared" si="46"/>
        <v>889.38000000000011</v>
      </c>
      <c r="DG40" s="133">
        <f t="shared" si="47"/>
        <v>4256.88</v>
      </c>
      <c r="DH40" s="131"/>
      <c r="DI40" s="114">
        <v>4.49</v>
      </c>
      <c r="DJ40" s="130"/>
      <c r="DK40" s="130"/>
      <c r="DL40" s="132"/>
      <c r="DM40" s="114">
        <v>2.4300000000000002</v>
      </c>
      <c r="DN40" s="130"/>
      <c r="DO40" s="130"/>
      <c r="DP40" s="132"/>
      <c r="DQ40" s="131">
        <f t="shared" si="48"/>
        <v>0</v>
      </c>
      <c r="DR40" s="131"/>
      <c r="DS40" s="134"/>
      <c r="DT40" s="135"/>
      <c r="DU40" s="26"/>
    </row>
    <row r="41" spans="1:125" ht="12.75" customHeight="1">
      <c r="A41" s="82" t="s">
        <v>233</v>
      </c>
      <c r="B41" s="136" t="s">
        <v>219</v>
      </c>
      <c r="C41" s="114">
        <v>4.3499999999999996</v>
      </c>
      <c r="D41" s="137">
        <v>55063</v>
      </c>
      <c r="E41" s="130">
        <f>D41-52793</f>
        <v>2270</v>
      </c>
      <c r="F41" s="125">
        <f t="shared" si="0"/>
        <v>9874.5</v>
      </c>
      <c r="G41" s="114">
        <v>2.27</v>
      </c>
      <c r="H41" s="137">
        <v>27943</v>
      </c>
      <c r="I41" s="130">
        <f>H41-26838</f>
        <v>1105</v>
      </c>
      <c r="J41" s="125">
        <f t="shared" si="1"/>
        <v>2508.35</v>
      </c>
      <c r="K41" s="126">
        <f t="shared" si="51"/>
        <v>12382.85</v>
      </c>
      <c r="L41" s="127">
        <v>12383</v>
      </c>
      <c r="M41" s="114">
        <v>4.3499999999999996</v>
      </c>
      <c r="N41" s="139">
        <v>56602</v>
      </c>
      <c r="O41" s="129">
        <f t="shared" si="2"/>
        <v>1539</v>
      </c>
      <c r="P41" s="125">
        <f t="shared" si="3"/>
        <v>6694.65</v>
      </c>
      <c r="Q41" s="114">
        <v>2.27</v>
      </c>
      <c r="R41" s="140">
        <v>28708</v>
      </c>
      <c r="S41" s="129">
        <f t="shared" si="4"/>
        <v>765</v>
      </c>
      <c r="T41" s="125">
        <f t="shared" si="5"/>
        <v>1736.55</v>
      </c>
      <c r="U41" s="126">
        <f t="shared" si="6"/>
        <v>8431.1999999999989</v>
      </c>
      <c r="V41" s="127">
        <v>8431</v>
      </c>
      <c r="W41" s="114">
        <v>4.3499999999999996</v>
      </c>
      <c r="X41" s="123">
        <v>57905</v>
      </c>
      <c r="Y41" s="130">
        <f t="shared" si="7"/>
        <v>1303</v>
      </c>
      <c r="Z41" s="125">
        <f t="shared" si="8"/>
        <v>5668.0499999999993</v>
      </c>
      <c r="AA41" s="114">
        <v>2.27</v>
      </c>
      <c r="AB41" s="123">
        <v>29379</v>
      </c>
      <c r="AC41" s="130">
        <f t="shared" si="9"/>
        <v>671</v>
      </c>
      <c r="AD41" s="125">
        <f t="shared" si="10"/>
        <v>1523.17</v>
      </c>
      <c r="AE41" s="126">
        <f t="shared" si="11"/>
        <v>7191.2199999999993</v>
      </c>
      <c r="AF41" s="127">
        <v>7191</v>
      </c>
      <c r="AG41" s="114">
        <v>4.3499999999999996</v>
      </c>
      <c r="AH41" s="123">
        <v>58809</v>
      </c>
      <c r="AI41" s="129">
        <f t="shared" si="12"/>
        <v>904</v>
      </c>
      <c r="AJ41" s="125">
        <f t="shared" si="52"/>
        <v>3932.3999999999996</v>
      </c>
      <c r="AK41" s="114">
        <v>2.27</v>
      </c>
      <c r="AL41" s="123">
        <v>29931</v>
      </c>
      <c r="AM41" s="129">
        <f t="shared" si="13"/>
        <v>552</v>
      </c>
      <c r="AN41" s="125">
        <f t="shared" si="53"/>
        <v>1253.04</v>
      </c>
      <c r="AO41" s="131">
        <f t="shared" si="14"/>
        <v>5185.4399999999996</v>
      </c>
      <c r="AP41" s="127">
        <v>5185</v>
      </c>
      <c r="AQ41" s="114">
        <v>4.3499999999999996</v>
      </c>
      <c r="AR41" s="123">
        <v>59531</v>
      </c>
      <c r="AS41" s="130">
        <f t="shared" si="15"/>
        <v>722</v>
      </c>
      <c r="AT41" s="125">
        <f t="shared" si="16"/>
        <v>3140.7</v>
      </c>
      <c r="AU41" s="114">
        <v>2.27</v>
      </c>
      <c r="AV41" s="123">
        <v>30342</v>
      </c>
      <c r="AW41" s="130">
        <f t="shared" si="17"/>
        <v>411</v>
      </c>
      <c r="AX41" s="125">
        <f t="shared" si="18"/>
        <v>932.97</v>
      </c>
      <c r="AY41" s="131">
        <f t="shared" si="19"/>
        <v>4073.67</v>
      </c>
      <c r="AZ41" s="127">
        <v>4074</v>
      </c>
      <c r="BA41" s="114">
        <v>4.3499999999999996</v>
      </c>
      <c r="BB41" s="123">
        <v>59864</v>
      </c>
      <c r="BC41" s="130">
        <f t="shared" si="20"/>
        <v>333</v>
      </c>
      <c r="BD41" s="125">
        <f t="shared" si="21"/>
        <v>1448.55</v>
      </c>
      <c r="BE41" s="114">
        <v>2.27</v>
      </c>
      <c r="BF41" s="123">
        <v>30500</v>
      </c>
      <c r="BG41" s="130">
        <f t="shared" si="22"/>
        <v>158</v>
      </c>
      <c r="BH41" s="125">
        <f t="shared" si="23"/>
        <v>358.66</v>
      </c>
      <c r="BI41" s="131">
        <f t="shared" si="24"/>
        <v>1807.21</v>
      </c>
      <c r="BJ41" s="127">
        <v>1807</v>
      </c>
      <c r="BK41" s="114">
        <v>4.49</v>
      </c>
      <c r="BL41" s="123">
        <v>60230</v>
      </c>
      <c r="BM41" s="130">
        <f t="shared" si="25"/>
        <v>366</v>
      </c>
      <c r="BN41" s="125">
        <f t="shared" si="26"/>
        <v>1643.3400000000001</v>
      </c>
      <c r="BO41" s="114">
        <v>2.4300000000000002</v>
      </c>
      <c r="BP41" s="123">
        <v>30695</v>
      </c>
      <c r="BQ41" s="130">
        <f t="shared" si="27"/>
        <v>195</v>
      </c>
      <c r="BR41" s="125">
        <f t="shared" si="28"/>
        <v>473.85</v>
      </c>
      <c r="BS41" s="131">
        <f t="shared" si="29"/>
        <v>2117.19</v>
      </c>
      <c r="BT41" s="127">
        <v>2117</v>
      </c>
      <c r="BU41" s="114">
        <v>4.49</v>
      </c>
      <c r="BV41" s="123">
        <v>60606</v>
      </c>
      <c r="BW41" s="130">
        <f t="shared" si="30"/>
        <v>376</v>
      </c>
      <c r="BX41" s="125">
        <f t="shared" si="31"/>
        <v>1688.24</v>
      </c>
      <c r="BY41" s="114">
        <v>2.4300000000000002</v>
      </c>
      <c r="BZ41" s="123">
        <v>30888</v>
      </c>
      <c r="CA41" s="130">
        <f t="shared" si="32"/>
        <v>193</v>
      </c>
      <c r="CB41" s="125">
        <f t="shared" si="33"/>
        <v>468.99</v>
      </c>
      <c r="CC41" s="131">
        <f t="shared" si="34"/>
        <v>2157.23</v>
      </c>
      <c r="CD41" s="127">
        <v>2157</v>
      </c>
      <c r="CE41" s="114">
        <v>4.49</v>
      </c>
      <c r="CF41" s="123">
        <v>61161</v>
      </c>
      <c r="CG41" s="129">
        <f t="shared" si="35"/>
        <v>555</v>
      </c>
      <c r="CH41" s="125">
        <f t="shared" si="49"/>
        <v>2491.9500000000003</v>
      </c>
      <c r="CI41" s="114">
        <v>2.4300000000000002</v>
      </c>
      <c r="CJ41" s="123">
        <v>31166</v>
      </c>
      <c r="CK41" s="129">
        <f t="shared" si="36"/>
        <v>278</v>
      </c>
      <c r="CL41" s="125">
        <f t="shared" si="37"/>
        <v>675.54000000000008</v>
      </c>
      <c r="CM41" s="127">
        <f t="shared" si="38"/>
        <v>3167.4900000000002</v>
      </c>
      <c r="CN41" s="127">
        <v>3167</v>
      </c>
      <c r="CO41" s="114">
        <v>4.49</v>
      </c>
      <c r="CP41" s="123">
        <v>62036</v>
      </c>
      <c r="CQ41" s="130">
        <f t="shared" si="39"/>
        <v>875</v>
      </c>
      <c r="CR41" s="125">
        <f t="shared" si="40"/>
        <v>3928.75</v>
      </c>
      <c r="CS41" s="114">
        <v>2.4300000000000002</v>
      </c>
      <c r="CT41" s="123">
        <v>31631</v>
      </c>
      <c r="CU41" s="130">
        <f t="shared" si="41"/>
        <v>465</v>
      </c>
      <c r="CV41" s="125">
        <f t="shared" si="50"/>
        <v>1129.95</v>
      </c>
      <c r="CW41" s="131">
        <f t="shared" si="42"/>
        <v>5058.7</v>
      </c>
      <c r="CX41" s="127">
        <v>5059</v>
      </c>
      <c r="CY41" s="114">
        <v>4.49</v>
      </c>
      <c r="CZ41" s="123">
        <v>63344</v>
      </c>
      <c r="DA41" s="130">
        <f t="shared" si="43"/>
        <v>1308</v>
      </c>
      <c r="DB41" s="132">
        <f t="shared" si="44"/>
        <v>5872.92</v>
      </c>
      <c r="DC41" s="114">
        <v>2.4300000000000002</v>
      </c>
      <c r="DD41" s="123">
        <v>32224</v>
      </c>
      <c r="DE41" s="130">
        <f t="shared" si="45"/>
        <v>593</v>
      </c>
      <c r="DF41" s="132">
        <f t="shared" si="46"/>
        <v>1440.99</v>
      </c>
      <c r="DG41" s="133">
        <f t="shared" si="47"/>
        <v>7313.91</v>
      </c>
      <c r="DH41" s="127"/>
      <c r="DI41" s="114">
        <v>4.49</v>
      </c>
      <c r="DJ41" s="130"/>
      <c r="DK41" s="130"/>
      <c r="DL41" s="132"/>
      <c r="DM41" s="114">
        <v>2.4300000000000002</v>
      </c>
      <c r="DN41" s="130"/>
      <c r="DO41" s="130"/>
      <c r="DP41" s="132"/>
      <c r="DQ41" s="131">
        <f t="shared" si="48"/>
        <v>0</v>
      </c>
      <c r="DR41" s="131"/>
      <c r="DS41" s="134"/>
      <c r="DT41" s="135"/>
      <c r="DU41" s="26"/>
    </row>
    <row r="42" spans="1:125" ht="12.75" customHeight="1">
      <c r="A42" s="82" t="s">
        <v>234</v>
      </c>
      <c r="B42" s="136" t="s">
        <v>222</v>
      </c>
      <c r="C42" s="114">
        <v>4.3499999999999996</v>
      </c>
      <c r="D42" s="137">
        <v>73116</v>
      </c>
      <c r="E42" s="130">
        <f>D42-71304</f>
        <v>1812</v>
      </c>
      <c r="F42" s="125">
        <f t="shared" si="0"/>
        <v>7882.1999999999989</v>
      </c>
      <c r="G42" s="114">
        <v>2.27</v>
      </c>
      <c r="H42" s="137">
        <v>36379</v>
      </c>
      <c r="I42" s="130">
        <f>H42-35507</f>
        <v>872</v>
      </c>
      <c r="J42" s="125">
        <f t="shared" si="1"/>
        <v>1979.44</v>
      </c>
      <c r="K42" s="126">
        <f t="shared" si="51"/>
        <v>9861.64</v>
      </c>
      <c r="L42" s="127">
        <v>9862</v>
      </c>
      <c r="M42" s="114">
        <v>4.3499999999999996</v>
      </c>
      <c r="N42" s="139">
        <v>74112</v>
      </c>
      <c r="O42" s="129">
        <f t="shared" si="2"/>
        <v>996</v>
      </c>
      <c r="P42" s="125">
        <f t="shared" si="3"/>
        <v>4332.5999999999995</v>
      </c>
      <c r="Q42" s="114">
        <v>2.27</v>
      </c>
      <c r="R42" s="140">
        <v>36889</v>
      </c>
      <c r="S42" s="129">
        <f t="shared" si="4"/>
        <v>510</v>
      </c>
      <c r="T42" s="125">
        <f t="shared" si="5"/>
        <v>1157.7</v>
      </c>
      <c r="U42" s="126">
        <f t="shared" si="6"/>
        <v>5490.2999999999993</v>
      </c>
      <c r="V42" s="127">
        <v>5490</v>
      </c>
      <c r="W42" s="114">
        <v>4.3499999999999996</v>
      </c>
      <c r="X42" s="123">
        <v>75194</v>
      </c>
      <c r="Y42" s="130">
        <f t="shared" si="7"/>
        <v>1082</v>
      </c>
      <c r="Z42" s="125">
        <f t="shared" si="8"/>
        <v>4706.7</v>
      </c>
      <c r="AA42" s="114">
        <v>2.27</v>
      </c>
      <c r="AB42" s="123">
        <v>37490</v>
      </c>
      <c r="AC42" s="130">
        <f t="shared" si="9"/>
        <v>601</v>
      </c>
      <c r="AD42" s="125">
        <f t="shared" si="10"/>
        <v>1364.27</v>
      </c>
      <c r="AE42" s="126">
        <f t="shared" si="11"/>
        <v>6070.9699999999993</v>
      </c>
      <c r="AF42" s="127">
        <v>6071</v>
      </c>
      <c r="AG42" s="114">
        <v>4.3499999999999996</v>
      </c>
      <c r="AH42" s="123">
        <v>75895</v>
      </c>
      <c r="AI42" s="129">
        <f t="shared" si="12"/>
        <v>701</v>
      </c>
      <c r="AJ42" s="125">
        <f t="shared" si="52"/>
        <v>3049.35</v>
      </c>
      <c r="AK42" s="114">
        <v>2.27</v>
      </c>
      <c r="AL42" s="123">
        <v>37911</v>
      </c>
      <c r="AM42" s="129">
        <f t="shared" si="13"/>
        <v>421</v>
      </c>
      <c r="AN42" s="125">
        <f t="shared" si="53"/>
        <v>955.67</v>
      </c>
      <c r="AO42" s="131">
        <f t="shared" si="14"/>
        <v>4005.02</v>
      </c>
      <c r="AP42" s="127">
        <v>4005</v>
      </c>
      <c r="AQ42" s="114">
        <v>4.3499999999999996</v>
      </c>
      <c r="AR42" s="123">
        <v>76475</v>
      </c>
      <c r="AS42" s="130">
        <f t="shared" si="15"/>
        <v>580</v>
      </c>
      <c r="AT42" s="125">
        <f t="shared" si="16"/>
        <v>2523</v>
      </c>
      <c r="AU42" s="114">
        <v>2.27</v>
      </c>
      <c r="AV42" s="123">
        <v>38213</v>
      </c>
      <c r="AW42" s="130">
        <f t="shared" si="17"/>
        <v>302</v>
      </c>
      <c r="AX42" s="125">
        <f t="shared" si="18"/>
        <v>685.54</v>
      </c>
      <c r="AY42" s="131">
        <f t="shared" si="19"/>
        <v>3208.54</v>
      </c>
      <c r="AZ42" s="127">
        <v>3209</v>
      </c>
      <c r="BA42" s="114">
        <v>4.3499999999999996</v>
      </c>
      <c r="BB42" s="123">
        <v>76862</v>
      </c>
      <c r="BC42" s="130">
        <f t="shared" si="20"/>
        <v>387</v>
      </c>
      <c r="BD42" s="125">
        <f t="shared" si="21"/>
        <v>1683.4499999999998</v>
      </c>
      <c r="BE42" s="114">
        <v>2.27</v>
      </c>
      <c r="BF42" s="123">
        <v>38392</v>
      </c>
      <c r="BG42" s="130">
        <f t="shared" si="22"/>
        <v>179</v>
      </c>
      <c r="BH42" s="125">
        <f t="shared" si="23"/>
        <v>406.33</v>
      </c>
      <c r="BI42" s="131">
        <f t="shared" si="24"/>
        <v>2089.7799999999997</v>
      </c>
      <c r="BJ42" s="127">
        <v>2090</v>
      </c>
      <c r="BK42" s="114">
        <v>4.49</v>
      </c>
      <c r="BL42" s="123">
        <v>77317</v>
      </c>
      <c r="BM42" s="130">
        <f t="shared" si="25"/>
        <v>455</v>
      </c>
      <c r="BN42" s="125">
        <f t="shared" si="26"/>
        <v>2042.95</v>
      </c>
      <c r="BO42" s="114">
        <v>2.4300000000000002</v>
      </c>
      <c r="BP42" s="123">
        <v>38575</v>
      </c>
      <c r="BQ42" s="130">
        <f t="shared" si="27"/>
        <v>183</v>
      </c>
      <c r="BR42" s="125">
        <f t="shared" si="28"/>
        <v>444.69000000000005</v>
      </c>
      <c r="BS42" s="131">
        <f t="shared" si="29"/>
        <v>2487.6400000000003</v>
      </c>
      <c r="BT42" s="127">
        <v>2488</v>
      </c>
      <c r="BU42" s="114">
        <v>4.49</v>
      </c>
      <c r="BV42" s="123">
        <v>77657</v>
      </c>
      <c r="BW42" s="130">
        <f t="shared" si="30"/>
        <v>340</v>
      </c>
      <c r="BX42" s="125">
        <f t="shared" si="31"/>
        <v>1526.6000000000001</v>
      </c>
      <c r="BY42" s="114">
        <v>2.4300000000000002</v>
      </c>
      <c r="BZ42" s="123">
        <v>38738</v>
      </c>
      <c r="CA42" s="130">
        <f t="shared" si="32"/>
        <v>163</v>
      </c>
      <c r="CB42" s="125">
        <f t="shared" si="33"/>
        <v>396.09000000000003</v>
      </c>
      <c r="CC42" s="131">
        <f t="shared" si="34"/>
        <v>1922.69</v>
      </c>
      <c r="CD42" s="127">
        <v>1923</v>
      </c>
      <c r="CE42" s="114">
        <v>4.49</v>
      </c>
      <c r="CF42" s="123">
        <v>78170</v>
      </c>
      <c r="CG42" s="129">
        <f t="shared" si="35"/>
        <v>513</v>
      </c>
      <c r="CH42" s="125">
        <f t="shared" si="49"/>
        <v>2303.37</v>
      </c>
      <c r="CI42" s="114">
        <v>2.4300000000000002</v>
      </c>
      <c r="CJ42" s="123">
        <v>38976</v>
      </c>
      <c r="CK42" s="129">
        <f t="shared" si="36"/>
        <v>238</v>
      </c>
      <c r="CL42" s="125">
        <f t="shared" si="37"/>
        <v>578.34</v>
      </c>
      <c r="CM42" s="127">
        <f t="shared" si="38"/>
        <v>2881.71</v>
      </c>
      <c r="CN42" s="127">
        <v>2882</v>
      </c>
      <c r="CO42" s="114">
        <v>4.49</v>
      </c>
      <c r="CP42" s="123">
        <v>79105</v>
      </c>
      <c r="CQ42" s="130">
        <f t="shared" si="39"/>
        <v>935</v>
      </c>
      <c r="CR42" s="125">
        <f t="shared" si="40"/>
        <v>4198.1500000000005</v>
      </c>
      <c r="CS42" s="114">
        <v>2.4300000000000002</v>
      </c>
      <c r="CT42" s="123">
        <v>39445</v>
      </c>
      <c r="CU42" s="130">
        <f t="shared" si="41"/>
        <v>469</v>
      </c>
      <c r="CV42" s="125">
        <f t="shared" si="50"/>
        <v>1139.67</v>
      </c>
      <c r="CW42" s="131">
        <f t="shared" si="42"/>
        <v>5337.8200000000006</v>
      </c>
      <c r="CX42" s="127">
        <v>5338</v>
      </c>
      <c r="CY42" s="114">
        <v>4.49</v>
      </c>
      <c r="CZ42" s="123">
        <v>80313</v>
      </c>
      <c r="DA42" s="130">
        <f t="shared" si="43"/>
        <v>1208</v>
      </c>
      <c r="DB42" s="132">
        <f t="shared" si="44"/>
        <v>5423.92</v>
      </c>
      <c r="DC42" s="114">
        <v>2.4300000000000002</v>
      </c>
      <c r="DD42" s="123">
        <v>39991</v>
      </c>
      <c r="DE42" s="130">
        <f t="shared" si="45"/>
        <v>546</v>
      </c>
      <c r="DF42" s="132">
        <f t="shared" si="46"/>
        <v>1326.7800000000002</v>
      </c>
      <c r="DG42" s="133">
        <f t="shared" si="47"/>
        <v>6750.7000000000007</v>
      </c>
      <c r="DH42" s="127"/>
      <c r="DI42" s="114">
        <v>4.49</v>
      </c>
      <c r="DJ42" s="130"/>
      <c r="DK42" s="130"/>
      <c r="DL42" s="132"/>
      <c r="DM42" s="114">
        <v>2.4300000000000002</v>
      </c>
      <c r="DN42" s="130"/>
      <c r="DO42" s="130"/>
      <c r="DP42" s="132"/>
      <c r="DQ42" s="131">
        <f t="shared" si="48"/>
        <v>0</v>
      </c>
      <c r="DR42" s="131"/>
      <c r="DS42" s="134"/>
      <c r="DT42" s="135"/>
      <c r="DU42" s="26"/>
    </row>
    <row r="43" spans="1:125" ht="12.75" customHeight="1">
      <c r="A43" s="82" t="s">
        <v>224</v>
      </c>
      <c r="B43" s="30" t="s">
        <v>222</v>
      </c>
      <c r="C43" s="114">
        <v>4.3499999999999996</v>
      </c>
      <c r="D43" s="142">
        <v>15639</v>
      </c>
      <c r="E43" s="130">
        <f>D43-15639</f>
        <v>0</v>
      </c>
      <c r="F43" s="125">
        <f t="shared" si="0"/>
        <v>0</v>
      </c>
      <c r="G43" s="114">
        <v>2.27</v>
      </c>
      <c r="H43" s="142">
        <v>7223</v>
      </c>
      <c r="I43" s="130">
        <f>H43-7223</f>
        <v>0</v>
      </c>
      <c r="J43" s="125">
        <f t="shared" si="1"/>
        <v>0</v>
      </c>
      <c r="K43" s="126">
        <f t="shared" si="51"/>
        <v>0</v>
      </c>
      <c r="L43" s="127">
        <v>0</v>
      </c>
      <c r="M43" s="114">
        <v>4.3499999999999996</v>
      </c>
      <c r="N43" s="139">
        <v>15639</v>
      </c>
      <c r="O43" s="129">
        <f t="shared" si="2"/>
        <v>0</v>
      </c>
      <c r="P43" s="125">
        <f t="shared" si="3"/>
        <v>0</v>
      </c>
      <c r="Q43" s="114">
        <v>2.27</v>
      </c>
      <c r="R43" s="140">
        <v>7223</v>
      </c>
      <c r="S43" s="129">
        <f t="shared" si="4"/>
        <v>0</v>
      </c>
      <c r="T43" s="125">
        <f t="shared" si="5"/>
        <v>0</v>
      </c>
      <c r="U43" s="126">
        <f t="shared" si="6"/>
        <v>0</v>
      </c>
      <c r="V43" s="127">
        <v>0</v>
      </c>
      <c r="W43" s="114">
        <v>4.3499999999999996</v>
      </c>
      <c r="X43" s="123">
        <v>15827</v>
      </c>
      <c r="Y43" s="130">
        <f t="shared" si="7"/>
        <v>188</v>
      </c>
      <c r="Z43" s="125">
        <f t="shared" si="8"/>
        <v>817.8</v>
      </c>
      <c r="AA43" s="114">
        <v>2.27</v>
      </c>
      <c r="AB43" s="123">
        <v>7311</v>
      </c>
      <c r="AC43" s="130">
        <f t="shared" si="9"/>
        <v>88</v>
      </c>
      <c r="AD43" s="125">
        <f t="shared" si="10"/>
        <v>199.76</v>
      </c>
      <c r="AE43" s="126">
        <f t="shared" si="11"/>
        <v>1017.56</v>
      </c>
      <c r="AF43" s="127">
        <v>1018</v>
      </c>
      <c r="AG43" s="114">
        <v>4.3499999999999996</v>
      </c>
      <c r="AH43" s="123">
        <v>16238</v>
      </c>
      <c r="AI43" s="129">
        <f t="shared" si="12"/>
        <v>411</v>
      </c>
      <c r="AJ43" s="125">
        <f t="shared" si="52"/>
        <v>1787.85</v>
      </c>
      <c r="AK43" s="114">
        <v>2.27</v>
      </c>
      <c r="AL43" s="123">
        <v>7507</v>
      </c>
      <c r="AM43" s="129">
        <f t="shared" si="13"/>
        <v>196</v>
      </c>
      <c r="AN43" s="125">
        <f t="shared" si="53"/>
        <v>444.92</v>
      </c>
      <c r="AO43" s="131">
        <f t="shared" si="14"/>
        <v>2232.77</v>
      </c>
      <c r="AP43" s="127">
        <v>2233</v>
      </c>
      <c r="AQ43" s="114">
        <v>4.3499999999999996</v>
      </c>
      <c r="AR43" s="123">
        <v>16708</v>
      </c>
      <c r="AS43" s="130">
        <f t="shared" si="15"/>
        <v>470</v>
      </c>
      <c r="AT43" s="125">
        <f t="shared" si="16"/>
        <v>2044.4999999999998</v>
      </c>
      <c r="AU43" s="114">
        <v>2.27</v>
      </c>
      <c r="AV43" s="123">
        <v>7583</v>
      </c>
      <c r="AW43" s="130">
        <f t="shared" si="17"/>
        <v>76</v>
      </c>
      <c r="AX43" s="125">
        <f t="shared" si="18"/>
        <v>172.52</v>
      </c>
      <c r="AY43" s="131">
        <f t="shared" si="19"/>
        <v>2217.02</v>
      </c>
      <c r="AZ43" s="127">
        <v>2217</v>
      </c>
      <c r="BA43" s="114">
        <v>4.3499999999999996</v>
      </c>
      <c r="BB43" s="123">
        <v>17194</v>
      </c>
      <c r="BC43" s="130">
        <f t="shared" si="20"/>
        <v>486</v>
      </c>
      <c r="BD43" s="125">
        <f t="shared" si="21"/>
        <v>2114.1</v>
      </c>
      <c r="BE43" s="114">
        <v>2.27</v>
      </c>
      <c r="BF43" s="123">
        <v>7701</v>
      </c>
      <c r="BG43" s="130">
        <f t="shared" si="22"/>
        <v>118</v>
      </c>
      <c r="BH43" s="125">
        <f t="shared" si="23"/>
        <v>267.86</v>
      </c>
      <c r="BI43" s="131">
        <f t="shared" si="24"/>
        <v>2381.96</v>
      </c>
      <c r="BJ43" s="127">
        <v>2382</v>
      </c>
      <c r="BK43" s="114">
        <v>4.49</v>
      </c>
      <c r="BL43" s="123">
        <v>17893</v>
      </c>
      <c r="BM43" s="130">
        <f t="shared" si="25"/>
        <v>699</v>
      </c>
      <c r="BN43" s="125">
        <f t="shared" si="26"/>
        <v>3138.51</v>
      </c>
      <c r="BO43" s="114">
        <v>2.4300000000000002</v>
      </c>
      <c r="BP43" s="123">
        <v>7914</v>
      </c>
      <c r="BQ43" s="130">
        <f t="shared" si="27"/>
        <v>213</v>
      </c>
      <c r="BR43" s="125">
        <f t="shared" si="28"/>
        <v>517.59</v>
      </c>
      <c r="BS43" s="131">
        <f t="shared" si="29"/>
        <v>3656.1000000000004</v>
      </c>
      <c r="BT43" s="127">
        <v>3656</v>
      </c>
      <c r="BU43" s="114">
        <v>4.49</v>
      </c>
      <c r="BV43" s="123">
        <v>18736</v>
      </c>
      <c r="BW43" s="130">
        <f t="shared" si="30"/>
        <v>843</v>
      </c>
      <c r="BX43" s="125">
        <f t="shared" si="31"/>
        <v>3785.07</v>
      </c>
      <c r="BY43" s="114">
        <v>2.4300000000000002</v>
      </c>
      <c r="BZ43" s="123">
        <v>8294</v>
      </c>
      <c r="CA43" s="130">
        <f t="shared" si="32"/>
        <v>380</v>
      </c>
      <c r="CB43" s="125">
        <f t="shared" si="33"/>
        <v>923.40000000000009</v>
      </c>
      <c r="CC43" s="131">
        <f t="shared" si="34"/>
        <v>4708.47</v>
      </c>
      <c r="CD43" s="127">
        <v>4708</v>
      </c>
      <c r="CE43" s="114">
        <v>4.49</v>
      </c>
      <c r="CF43" s="123">
        <v>19934</v>
      </c>
      <c r="CG43" s="129">
        <f t="shared" si="35"/>
        <v>1198</v>
      </c>
      <c r="CH43" s="125">
        <f t="shared" si="49"/>
        <v>5379.02</v>
      </c>
      <c r="CI43" s="114">
        <v>2.4300000000000002</v>
      </c>
      <c r="CJ43" s="123">
        <v>8830</v>
      </c>
      <c r="CK43" s="129">
        <f t="shared" si="36"/>
        <v>536</v>
      </c>
      <c r="CL43" s="125">
        <f t="shared" si="37"/>
        <v>1302.48</v>
      </c>
      <c r="CM43" s="127">
        <f t="shared" si="38"/>
        <v>6681.5</v>
      </c>
      <c r="CN43" s="127">
        <v>6682</v>
      </c>
      <c r="CO43" s="114">
        <v>4.49</v>
      </c>
      <c r="CP43" s="123">
        <v>21271</v>
      </c>
      <c r="CQ43" s="130">
        <f t="shared" si="39"/>
        <v>1337</v>
      </c>
      <c r="CR43" s="125">
        <f t="shared" si="40"/>
        <v>6003.13</v>
      </c>
      <c r="CS43" s="114">
        <v>2.4300000000000002</v>
      </c>
      <c r="CT43" s="123">
        <v>9513</v>
      </c>
      <c r="CU43" s="130">
        <f t="shared" si="41"/>
        <v>683</v>
      </c>
      <c r="CV43" s="125">
        <f t="shared" si="50"/>
        <v>1659.69</v>
      </c>
      <c r="CW43" s="131">
        <f t="shared" si="42"/>
        <v>7662.82</v>
      </c>
      <c r="CX43" s="127">
        <v>7663</v>
      </c>
      <c r="CY43" s="114">
        <v>4.49</v>
      </c>
      <c r="CZ43" s="123">
        <v>22655</v>
      </c>
      <c r="DA43" s="130">
        <f t="shared" si="43"/>
        <v>1384</v>
      </c>
      <c r="DB43" s="132">
        <f t="shared" si="44"/>
        <v>6214.16</v>
      </c>
      <c r="DC43" s="114">
        <v>2.4300000000000002</v>
      </c>
      <c r="DD43" s="123">
        <v>10162</v>
      </c>
      <c r="DE43" s="130">
        <f t="shared" si="45"/>
        <v>649</v>
      </c>
      <c r="DF43" s="132">
        <f t="shared" si="46"/>
        <v>1577.0700000000002</v>
      </c>
      <c r="DG43" s="133">
        <f t="shared" si="47"/>
        <v>7791.23</v>
      </c>
      <c r="DH43" s="127"/>
      <c r="DI43" s="114">
        <v>4.49</v>
      </c>
      <c r="DJ43" s="130"/>
      <c r="DK43" s="130"/>
      <c r="DL43" s="132"/>
      <c r="DM43" s="114">
        <v>2.4300000000000002</v>
      </c>
      <c r="DN43" s="130"/>
      <c r="DO43" s="130"/>
      <c r="DP43" s="132"/>
      <c r="DQ43" s="131">
        <f t="shared" si="48"/>
        <v>0</v>
      </c>
      <c r="DR43" s="131"/>
      <c r="DS43" s="134"/>
      <c r="DT43" s="135"/>
      <c r="DU43" s="26"/>
    </row>
    <row r="44" spans="1:125" ht="12.75" customHeight="1">
      <c r="A44" s="82" t="s">
        <v>225</v>
      </c>
      <c r="B44" s="136" t="s">
        <v>226</v>
      </c>
      <c r="C44" s="114">
        <v>4.3499999999999996</v>
      </c>
      <c r="D44" s="137">
        <v>19532</v>
      </c>
      <c r="E44" s="130">
        <f>D44-19173</f>
        <v>359</v>
      </c>
      <c r="F44" s="125">
        <f t="shared" si="0"/>
        <v>1561.6499999999999</v>
      </c>
      <c r="G44" s="114">
        <v>2.27</v>
      </c>
      <c r="H44" s="137">
        <v>7096</v>
      </c>
      <c r="I44" s="130">
        <f>H44-6968</f>
        <v>128</v>
      </c>
      <c r="J44" s="125">
        <f t="shared" si="1"/>
        <v>290.56</v>
      </c>
      <c r="K44" s="126">
        <f t="shared" si="51"/>
        <v>1852.2099999999998</v>
      </c>
      <c r="L44" s="127">
        <v>1852</v>
      </c>
      <c r="M44" s="114">
        <v>4.3499999999999996</v>
      </c>
      <c r="N44" s="139">
        <v>19809</v>
      </c>
      <c r="O44" s="129">
        <f t="shared" si="2"/>
        <v>277</v>
      </c>
      <c r="P44" s="125">
        <f t="shared" si="3"/>
        <v>1204.9499999999998</v>
      </c>
      <c r="Q44" s="114">
        <v>2.27</v>
      </c>
      <c r="R44" s="140">
        <v>7188</v>
      </c>
      <c r="S44" s="129">
        <f t="shared" si="4"/>
        <v>92</v>
      </c>
      <c r="T44" s="125">
        <f t="shared" si="5"/>
        <v>208.84</v>
      </c>
      <c r="U44" s="126">
        <f t="shared" si="6"/>
        <v>1413.7899999999997</v>
      </c>
      <c r="V44" s="127">
        <v>1414</v>
      </c>
      <c r="W44" s="114">
        <v>4.3499999999999996</v>
      </c>
      <c r="X44" s="123">
        <v>20059</v>
      </c>
      <c r="Y44" s="130">
        <f t="shared" si="7"/>
        <v>250</v>
      </c>
      <c r="Z44" s="125">
        <f t="shared" si="8"/>
        <v>1087.5</v>
      </c>
      <c r="AA44" s="114">
        <v>2.27</v>
      </c>
      <c r="AB44" s="123">
        <v>7276</v>
      </c>
      <c r="AC44" s="130">
        <f t="shared" si="9"/>
        <v>88</v>
      </c>
      <c r="AD44" s="125">
        <f t="shared" si="10"/>
        <v>199.76</v>
      </c>
      <c r="AE44" s="126">
        <f t="shared" si="11"/>
        <v>1287.26</v>
      </c>
      <c r="AF44" s="127">
        <v>1287</v>
      </c>
      <c r="AG44" s="114">
        <v>4.3499999999999996</v>
      </c>
      <c r="AH44" s="123">
        <v>20275</v>
      </c>
      <c r="AI44" s="129">
        <f t="shared" si="12"/>
        <v>216</v>
      </c>
      <c r="AJ44" s="125">
        <f t="shared" si="52"/>
        <v>939.59999999999991</v>
      </c>
      <c r="AK44" s="114">
        <v>2.27</v>
      </c>
      <c r="AL44" s="123">
        <v>7339</v>
      </c>
      <c r="AM44" s="129">
        <f t="shared" si="13"/>
        <v>63</v>
      </c>
      <c r="AN44" s="125">
        <f t="shared" si="53"/>
        <v>143.01</v>
      </c>
      <c r="AO44" s="131">
        <f t="shared" si="14"/>
        <v>1082.6099999999999</v>
      </c>
      <c r="AP44" s="127">
        <v>1083</v>
      </c>
      <c r="AQ44" s="114">
        <v>4.3499999999999996</v>
      </c>
      <c r="AR44" s="123">
        <v>20691</v>
      </c>
      <c r="AS44" s="130">
        <f t="shared" si="15"/>
        <v>416</v>
      </c>
      <c r="AT44" s="125">
        <f t="shared" si="16"/>
        <v>1809.6</v>
      </c>
      <c r="AU44" s="114">
        <v>2.27</v>
      </c>
      <c r="AV44" s="123">
        <v>7475</v>
      </c>
      <c r="AW44" s="130">
        <f t="shared" si="17"/>
        <v>136</v>
      </c>
      <c r="AX44" s="125">
        <f t="shared" si="18"/>
        <v>308.72000000000003</v>
      </c>
      <c r="AY44" s="131">
        <f t="shared" si="19"/>
        <v>2118.3199999999997</v>
      </c>
      <c r="AZ44" s="127">
        <v>2118</v>
      </c>
      <c r="BA44" s="114">
        <v>4.3499999999999996</v>
      </c>
      <c r="BB44" s="123">
        <v>20914</v>
      </c>
      <c r="BC44" s="130">
        <f t="shared" si="20"/>
        <v>223</v>
      </c>
      <c r="BD44" s="125">
        <f t="shared" si="21"/>
        <v>970.05</v>
      </c>
      <c r="BE44" s="114">
        <v>2.27</v>
      </c>
      <c r="BF44" s="123">
        <v>7543</v>
      </c>
      <c r="BG44" s="130">
        <f t="shared" si="22"/>
        <v>68</v>
      </c>
      <c r="BH44" s="125">
        <f t="shared" si="23"/>
        <v>154.36000000000001</v>
      </c>
      <c r="BI44" s="131">
        <f t="shared" si="24"/>
        <v>1124.4099999999999</v>
      </c>
      <c r="BJ44" s="127">
        <v>1124</v>
      </c>
      <c r="BK44" s="114">
        <v>4.49</v>
      </c>
      <c r="BL44" s="123">
        <v>21142</v>
      </c>
      <c r="BM44" s="130">
        <f t="shared" si="25"/>
        <v>228</v>
      </c>
      <c r="BN44" s="125">
        <f t="shared" si="26"/>
        <v>1023.72</v>
      </c>
      <c r="BO44" s="114">
        <v>2.4300000000000002</v>
      </c>
      <c r="BP44" s="123">
        <v>7608</v>
      </c>
      <c r="BQ44" s="130">
        <f t="shared" si="27"/>
        <v>65</v>
      </c>
      <c r="BR44" s="125">
        <f t="shared" si="28"/>
        <v>157.95000000000002</v>
      </c>
      <c r="BS44" s="131">
        <f t="shared" si="29"/>
        <v>1181.67</v>
      </c>
      <c r="BT44" s="127">
        <v>875</v>
      </c>
      <c r="BU44" s="114">
        <v>4.49</v>
      </c>
      <c r="BV44" s="123">
        <v>21212</v>
      </c>
      <c r="BW44" s="130">
        <f t="shared" si="30"/>
        <v>70</v>
      </c>
      <c r="BX44" s="125">
        <f t="shared" si="31"/>
        <v>314.3</v>
      </c>
      <c r="BY44" s="114">
        <v>2.4300000000000002</v>
      </c>
      <c r="BZ44" s="123">
        <v>7638</v>
      </c>
      <c r="CA44" s="130">
        <f t="shared" si="32"/>
        <v>30</v>
      </c>
      <c r="CB44" s="125">
        <f t="shared" si="33"/>
        <v>72.900000000000006</v>
      </c>
      <c r="CC44" s="131">
        <f t="shared" si="34"/>
        <v>387.20000000000005</v>
      </c>
      <c r="CD44" s="127">
        <v>387</v>
      </c>
      <c r="CE44" s="114">
        <v>4.49</v>
      </c>
      <c r="CF44" s="123">
        <v>21423</v>
      </c>
      <c r="CG44" s="129">
        <f t="shared" si="35"/>
        <v>211</v>
      </c>
      <c r="CH44" s="125">
        <f t="shared" si="49"/>
        <v>947.3900000000001</v>
      </c>
      <c r="CI44" s="114">
        <v>2.4300000000000002</v>
      </c>
      <c r="CJ44" s="123">
        <v>7688</v>
      </c>
      <c r="CK44" s="129">
        <f t="shared" si="36"/>
        <v>50</v>
      </c>
      <c r="CL44" s="125">
        <f t="shared" si="37"/>
        <v>121.50000000000001</v>
      </c>
      <c r="CM44" s="127">
        <f t="shared" si="38"/>
        <v>1068.8900000000001</v>
      </c>
      <c r="CN44" s="127">
        <v>1069</v>
      </c>
      <c r="CO44" s="114">
        <v>4.49</v>
      </c>
      <c r="CP44" s="123">
        <v>21595</v>
      </c>
      <c r="CQ44" s="130">
        <f t="shared" si="39"/>
        <v>172</v>
      </c>
      <c r="CR44" s="125">
        <f t="shared" si="40"/>
        <v>772.28000000000009</v>
      </c>
      <c r="CS44" s="114">
        <v>2.4300000000000002</v>
      </c>
      <c r="CT44" s="123">
        <v>7736</v>
      </c>
      <c r="CU44" s="130">
        <f t="shared" si="41"/>
        <v>48</v>
      </c>
      <c r="CV44" s="125">
        <f t="shared" si="50"/>
        <v>116.64000000000001</v>
      </c>
      <c r="CW44" s="131">
        <f t="shared" si="42"/>
        <v>888.92000000000007</v>
      </c>
      <c r="CX44" s="127">
        <v>889</v>
      </c>
      <c r="CY44" s="114">
        <v>4.49</v>
      </c>
      <c r="CZ44" s="123">
        <v>21774</v>
      </c>
      <c r="DA44" s="130">
        <f t="shared" si="43"/>
        <v>179</v>
      </c>
      <c r="DB44" s="132">
        <f t="shared" si="44"/>
        <v>803.71</v>
      </c>
      <c r="DC44" s="114">
        <v>2.4300000000000002</v>
      </c>
      <c r="DD44" s="123">
        <v>7791</v>
      </c>
      <c r="DE44" s="130">
        <f t="shared" si="45"/>
        <v>55</v>
      </c>
      <c r="DF44" s="132">
        <f t="shared" si="46"/>
        <v>133.65</v>
      </c>
      <c r="DG44" s="133">
        <f t="shared" si="47"/>
        <v>937.36</v>
      </c>
      <c r="DH44" s="184">
        <v>3348</v>
      </c>
      <c r="DI44" s="114">
        <v>4.49</v>
      </c>
      <c r="DJ44" s="130"/>
      <c r="DK44" s="130"/>
      <c r="DL44" s="132"/>
      <c r="DM44" s="114">
        <v>2.4300000000000002</v>
      </c>
      <c r="DN44" s="130"/>
      <c r="DO44" s="130"/>
      <c r="DP44" s="132"/>
      <c r="DQ44" s="131">
        <f t="shared" si="48"/>
        <v>0</v>
      </c>
      <c r="DR44" s="131"/>
      <c r="DS44" s="134"/>
      <c r="DT44" s="135"/>
      <c r="DU44" s="26"/>
    </row>
    <row r="45" spans="1:125" ht="13.5" customHeight="1">
      <c r="A45" s="115" t="s">
        <v>227</v>
      </c>
      <c r="B45" s="148" t="s">
        <v>228</v>
      </c>
      <c r="C45" s="114">
        <v>4.3499999999999996</v>
      </c>
      <c r="D45" s="149">
        <v>18289</v>
      </c>
      <c r="E45" s="130">
        <f>D45-17321</f>
        <v>968</v>
      </c>
      <c r="F45" s="125">
        <f t="shared" si="0"/>
        <v>4210.7999999999993</v>
      </c>
      <c r="G45" s="114">
        <v>2.27</v>
      </c>
      <c r="H45" s="149">
        <v>8822</v>
      </c>
      <c r="I45" s="130">
        <f>H45-8280</f>
        <v>542</v>
      </c>
      <c r="J45" s="125">
        <f t="shared" si="1"/>
        <v>1230.3399999999999</v>
      </c>
      <c r="K45" s="126">
        <f t="shared" si="51"/>
        <v>5441.1399999999994</v>
      </c>
      <c r="L45" s="127">
        <v>5441</v>
      </c>
      <c r="M45" s="114">
        <v>4.3499999999999996</v>
      </c>
      <c r="N45" s="139">
        <v>19017</v>
      </c>
      <c r="O45" s="129">
        <f t="shared" si="2"/>
        <v>728</v>
      </c>
      <c r="P45" s="125">
        <f t="shared" si="3"/>
        <v>3166.7999999999997</v>
      </c>
      <c r="Q45" s="114">
        <v>2.27</v>
      </c>
      <c r="R45" s="140">
        <v>9199</v>
      </c>
      <c r="S45" s="129">
        <f t="shared" si="4"/>
        <v>377</v>
      </c>
      <c r="T45" s="125">
        <f t="shared" si="5"/>
        <v>855.79</v>
      </c>
      <c r="U45" s="126">
        <f t="shared" si="6"/>
        <v>4022.5899999999997</v>
      </c>
      <c r="V45" s="127">
        <v>4023</v>
      </c>
      <c r="W45" s="114">
        <v>4.3499999999999996</v>
      </c>
      <c r="X45" s="123">
        <v>19628</v>
      </c>
      <c r="Y45" s="130">
        <f t="shared" si="7"/>
        <v>611</v>
      </c>
      <c r="Z45" s="125">
        <f t="shared" si="8"/>
        <v>2657.85</v>
      </c>
      <c r="AA45" s="114">
        <v>2.27</v>
      </c>
      <c r="AB45" s="123">
        <v>9552</v>
      </c>
      <c r="AC45" s="130">
        <f t="shared" si="9"/>
        <v>353</v>
      </c>
      <c r="AD45" s="125">
        <f t="shared" si="10"/>
        <v>801.31000000000006</v>
      </c>
      <c r="AE45" s="126">
        <f t="shared" si="11"/>
        <v>3459.16</v>
      </c>
      <c r="AF45" s="127">
        <v>3459</v>
      </c>
      <c r="AG45" s="114">
        <v>4.3499999999999996</v>
      </c>
      <c r="AH45" s="123">
        <v>20037</v>
      </c>
      <c r="AI45" s="129">
        <f t="shared" si="12"/>
        <v>409</v>
      </c>
      <c r="AJ45" s="125">
        <f t="shared" si="52"/>
        <v>1779.1499999999999</v>
      </c>
      <c r="AK45" s="114">
        <v>2.27</v>
      </c>
      <c r="AL45" s="123">
        <v>9835</v>
      </c>
      <c r="AM45" s="129">
        <f t="shared" si="13"/>
        <v>283</v>
      </c>
      <c r="AN45" s="125">
        <f t="shared" si="53"/>
        <v>642.41</v>
      </c>
      <c r="AO45" s="131">
        <f t="shared" si="14"/>
        <v>2421.56</v>
      </c>
      <c r="AP45" s="127">
        <v>2422</v>
      </c>
      <c r="AQ45" s="114">
        <v>4.3499999999999996</v>
      </c>
      <c r="AR45" s="123">
        <v>20329</v>
      </c>
      <c r="AS45" s="130">
        <f t="shared" si="15"/>
        <v>292</v>
      </c>
      <c r="AT45" s="125">
        <f t="shared" si="16"/>
        <v>1270.1999999999998</v>
      </c>
      <c r="AU45" s="114">
        <v>2.27</v>
      </c>
      <c r="AV45" s="123">
        <v>9933</v>
      </c>
      <c r="AW45" s="130">
        <f t="shared" si="17"/>
        <v>98</v>
      </c>
      <c r="AX45" s="125">
        <f t="shared" si="18"/>
        <v>222.46</v>
      </c>
      <c r="AY45" s="131">
        <f t="shared" si="19"/>
        <v>1492.6599999999999</v>
      </c>
      <c r="AZ45" s="127">
        <v>1493</v>
      </c>
      <c r="BA45" s="114">
        <v>4.3499999999999996</v>
      </c>
      <c r="BB45" s="123">
        <v>20737</v>
      </c>
      <c r="BC45" s="130">
        <f t="shared" si="20"/>
        <v>408</v>
      </c>
      <c r="BD45" s="125">
        <f t="shared" si="21"/>
        <v>1774.8</v>
      </c>
      <c r="BE45" s="114">
        <v>2.27</v>
      </c>
      <c r="BF45" s="123">
        <v>10079</v>
      </c>
      <c r="BG45" s="130">
        <f t="shared" si="22"/>
        <v>146</v>
      </c>
      <c r="BH45" s="125">
        <f t="shared" si="23"/>
        <v>331.42</v>
      </c>
      <c r="BI45" s="131">
        <f t="shared" si="24"/>
        <v>2106.2199999999998</v>
      </c>
      <c r="BJ45" s="127">
        <v>2106</v>
      </c>
      <c r="BK45" s="114">
        <v>4.49</v>
      </c>
      <c r="BL45" s="123">
        <v>21092</v>
      </c>
      <c r="BM45" s="130">
        <f t="shared" si="25"/>
        <v>355</v>
      </c>
      <c r="BN45" s="125">
        <f t="shared" si="26"/>
        <v>1593.95</v>
      </c>
      <c r="BO45" s="114">
        <v>2.4300000000000002</v>
      </c>
      <c r="BP45" s="123">
        <v>10239</v>
      </c>
      <c r="BQ45" s="130">
        <f t="shared" si="27"/>
        <v>160</v>
      </c>
      <c r="BR45" s="125">
        <f t="shared" si="28"/>
        <v>388.8</v>
      </c>
      <c r="BS45" s="131">
        <f t="shared" si="29"/>
        <v>1982.75</v>
      </c>
      <c r="BT45" s="127">
        <v>1983</v>
      </c>
      <c r="BU45" s="114">
        <v>4.49</v>
      </c>
      <c r="BV45" s="123">
        <v>21466</v>
      </c>
      <c r="BW45" s="130">
        <f t="shared" si="30"/>
        <v>374</v>
      </c>
      <c r="BX45" s="125">
        <f t="shared" si="31"/>
        <v>1679.26</v>
      </c>
      <c r="BY45" s="114">
        <v>2.4300000000000002</v>
      </c>
      <c r="BZ45" s="123">
        <v>10382</v>
      </c>
      <c r="CA45" s="130">
        <f t="shared" si="32"/>
        <v>143</v>
      </c>
      <c r="CB45" s="125">
        <f t="shared" si="33"/>
        <v>347.49</v>
      </c>
      <c r="CC45" s="131">
        <f t="shared" si="34"/>
        <v>2026.75</v>
      </c>
      <c r="CD45" s="127">
        <v>2027</v>
      </c>
      <c r="CE45" s="114">
        <v>4.49</v>
      </c>
      <c r="CF45" s="123">
        <v>21704</v>
      </c>
      <c r="CG45" s="129">
        <f t="shared" si="35"/>
        <v>238</v>
      </c>
      <c r="CH45" s="125">
        <f t="shared" si="49"/>
        <v>1068.6200000000001</v>
      </c>
      <c r="CI45" s="114">
        <v>2.4300000000000002</v>
      </c>
      <c r="CJ45" s="123">
        <v>10469</v>
      </c>
      <c r="CK45" s="129">
        <f t="shared" si="36"/>
        <v>87</v>
      </c>
      <c r="CL45" s="125">
        <f t="shared" si="37"/>
        <v>211.41000000000003</v>
      </c>
      <c r="CM45" s="127">
        <f t="shared" si="38"/>
        <v>1280.0300000000002</v>
      </c>
      <c r="CN45" s="127"/>
      <c r="CO45" s="114">
        <v>4.49</v>
      </c>
      <c r="CP45" s="123">
        <v>21960</v>
      </c>
      <c r="CQ45" s="130">
        <f t="shared" si="39"/>
        <v>256</v>
      </c>
      <c r="CR45" s="125">
        <f t="shared" si="40"/>
        <v>1149.44</v>
      </c>
      <c r="CS45" s="114">
        <v>2.4300000000000002</v>
      </c>
      <c r="CT45" s="123">
        <v>10539</v>
      </c>
      <c r="CU45" s="130">
        <f t="shared" si="41"/>
        <v>70</v>
      </c>
      <c r="CV45" s="125">
        <f t="shared" si="50"/>
        <v>170.10000000000002</v>
      </c>
      <c r="CW45" s="131">
        <f t="shared" si="42"/>
        <v>1319.54</v>
      </c>
      <c r="CX45" s="127"/>
      <c r="CY45" s="114">
        <v>4.49</v>
      </c>
      <c r="CZ45" s="123">
        <v>22531</v>
      </c>
      <c r="DA45" s="130">
        <f t="shared" si="43"/>
        <v>571</v>
      </c>
      <c r="DB45" s="132">
        <f t="shared" si="44"/>
        <v>2563.79</v>
      </c>
      <c r="DC45" s="114">
        <v>2.4300000000000002</v>
      </c>
      <c r="DD45" s="123">
        <v>10823</v>
      </c>
      <c r="DE45" s="130">
        <f t="shared" si="45"/>
        <v>284</v>
      </c>
      <c r="DF45" s="132">
        <f t="shared" si="46"/>
        <v>690.12</v>
      </c>
      <c r="DG45" s="133">
        <f t="shared" si="47"/>
        <v>3253.91</v>
      </c>
      <c r="DH45" s="127"/>
      <c r="DI45" s="114">
        <v>4.49</v>
      </c>
      <c r="DJ45" s="130"/>
      <c r="DK45" s="130"/>
      <c r="DL45" s="132"/>
      <c r="DM45" s="114">
        <v>2.4300000000000002</v>
      </c>
      <c r="DN45" s="130"/>
      <c r="DO45" s="130"/>
      <c r="DP45" s="132"/>
      <c r="DQ45" s="131">
        <f t="shared" si="48"/>
        <v>0</v>
      </c>
      <c r="DR45" s="131"/>
      <c r="DS45" s="134"/>
      <c r="DT45" s="135"/>
      <c r="DU45" s="26"/>
    </row>
    <row r="46" spans="1:125" ht="13.5" customHeight="1">
      <c r="A46" s="124"/>
      <c r="B46" s="40" t="s">
        <v>53</v>
      </c>
      <c r="C46" s="114"/>
      <c r="D46" s="147"/>
      <c r="E46" s="147">
        <f t="shared" ref="E46:F46" si="54">SUM(E5:E45)</f>
        <v>48564</v>
      </c>
      <c r="F46" s="150">
        <f t="shared" si="54"/>
        <v>211253.39999999997</v>
      </c>
      <c r="G46" s="146"/>
      <c r="H46" s="147"/>
      <c r="I46" s="147">
        <f t="shared" ref="I46:L46" si="55">SUM(I5:I45)</f>
        <v>24078</v>
      </c>
      <c r="J46" s="150">
        <f t="shared" si="55"/>
        <v>54657.060000000005</v>
      </c>
      <c r="K46" s="151">
        <f t="shared" si="55"/>
        <v>265910.45999999996</v>
      </c>
      <c r="L46" s="151">
        <f t="shared" si="55"/>
        <v>269080</v>
      </c>
      <c r="M46" s="146"/>
      <c r="N46" s="147"/>
      <c r="O46" s="147">
        <f t="shared" ref="O46:P46" si="56">SUM(O5:O45)</f>
        <v>30684</v>
      </c>
      <c r="P46" s="152">
        <f t="shared" si="56"/>
        <v>133475.40000000002</v>
      </c>
      <c r="Q46" s="153"/>
      <c r="R46" s="147"/>
      <c r="S46" s="147">
        <f t="shared" ref="S46:V46" si="57">SUM(S5:S45)</f>
        <v>15382</v>
      </c>
      <c r="T46" s="152">
        <f t="shared" si="57"/>
        <v>34917.139999999985</v>
      </c>
      <c r="U46" s="154">
        <f t="shared" si="57"/>
        <v>168392.54</v>
      </c>
      <c r="V46" s="155">
        <f t="shared" si="57"/>
        <v>168385</v>
      </c>
      <c r="W46" s="146"/>
      <c r="X46" s="147"/>
      <c r="Y46" s="147">
        <f t="shared" ref="Y46:Z46" si="58">SUM(Y5:Y45)</f>
        <v>31349</v>
      </c>
      <c r="Z46" s="152">
        <f t="shared" si="58"/>
        <v>136368.15</v>
      </c>
      <c r="AA46" s="147"/>
      <c r="AB46" s="147"/>
      <c r="AC46" s="147">
        <f t="shared" ref="AC46:AF46" si="59">SUM(AC5:AC45)</f>
        <v>15345</v>
      </c>
      <c r="AD46" s="156">
        <f t="shared" si="59"/>
        <v>34833.150000000009</v>
      </c>
      <c r="AE46" s="157">
        <f t="shared" si="59"/>
        <v>171201.30000000002</v>
      </c>
      <c r="AF46" s="157">
        <f t="shared" si="59"/>
        <v>171199</v>
      </c>
      <c r="AG46" s="158" t="s">
        <v>29</v>
      </c>
      <c r="AH46" s="147" t="s">
        <v>29</v>
      </c>
      <c r="AI46" s="147">
        <f t="shared" ref="AI46:AJ46" si="60">SUM(AI5:AI45)</f>
        <v>21437</v>
      </c>
      <c r="AJ46" s="152">
        <f t="shared" si="60"/>
        <v>93250.949999999983</v>
      </c>
      <c r="AK46" s="152" t="s">
        <v>29</v>
      </c>
      <c r="AL46" s="147"/>
      <c r="AM46" s="147">
        <f t="shared" ref="AM46:AP46" si="61">SUM(AM5:AM45)</f>
        <v>10872</v>
      </c>
      <c r="AN46" s="156">
        <f t="shared" si="61"/>
        <v>24679.439999999999</v>
      </c>
      <c r="AO46" s="157">
        <f t="shared" si="61"/>
        <v>117930.38999999998</v>
      </c>
      <c r="AP46" s="151">
        <f t="shared" si="61"/>
        <v>117933</v>
      </c>
      <c r="AQ46" s="158" t="s">
        <v>29</v>
      </c>
      <c r="AR46" s="147" t="s">
        <v>29</v>
      </c>
      <c r="AS46" s="147">
        <f t="shared" ref="AS46:AT46" si="62">SUM(AS5:AS45)</f>
        <v>18753</v>
      </c>
      <c r="AT46" s="152">
        <f t="shared" si="62"/>
        <v>81575.549999999988</v>
      </c>
      <c r="AU46" s="152" t="s">
        <v>29</v>
      </c>
      <c r="AV46" s="147"/>
      <c r="AW46" s="147">
        <f>SUM(AW5:AW45)</f>
        <v>8401</v>
      </c>
      <c r="AX46" s="156" t="s">
        <v>29</v>
      </c>
      <c r="AY46" s="157">
        <f t="shared" ref="AY46:AZ46" si="63">SUM(AY5:AY45)</f>
        <v>100645.81999999998</v>
      </c>
      <c r="AZ46" s="151">
        <f t="shared" si="63"/>
        <v>100645</v>
      </c>
      <c r="BA46" s="158" t="s">
        <v>29</v>
      </c>
      <c r="BB46" s="147" t="s">
        <v>29</v>
      </c>
      <c r="BC46" s="147">
        <f t="shared" ref="BC46:BD46" si="64">SUM(BC5:BC45)</f>
        <v>12295</v>
      </c>
      <c r="BD46" s="152">
        <f t="shared" si="64"/>
        <v>53483.250000000007</v>
      </c>
      <c r="BE46" s="152" t="s">
        <v>29</v>
      </c>
      <c r="BF46" s="147"/>
      <c r="BG46" s="147">
        <f t="shared" ref="BG46:BJ46" si="65">SUM(BG5:BG45)</f>
        <v>4972</v>
      </c>
      <c r="BH46" s="156">
        <f t="shared" si="65"/>
        <v>11286.439999999999</v>
      </c>
      <c r="BI46" s="157">
        <f t="shared" si="65"/>
        <v>64769.69</v>
      </c>
      <c r="BJ46" s="151">
        <f t="shared" si="65"/>
        <v>64769</v>
      </c>
      <c r="BK46" s="158" t="s">
        <v>29</v>
      </c>
      <c r="BL46" s="147" t="s">
        <v>29</v>
      </c>
      <c r="BM46" s="147">
        <f t="shared" ref="BM46:BN46" si="66">SUM(BM5:BM45)</f>
        <v>12901</v>
      </c>
      <c r="BN46" s="152">
        <f t="shared" si="66"/>
        <v>57925.49</v>
      </c>
      <c r="BO46" s="152" t="s">
        <v>29</v>
      </c>
      <c r="BP46" s="147"/>
      <c r="BQ46" s="147">
        <f t="shared" ref="BQ46:BT46" si="67">SUM(BQ5:BQ45)</f>
        <v>5628</v>
      </c>
      <c r="BR46" s="156">
        <f t="shared" si="67"/>
        <v>13676.040000000003</v>
      </c>
      <c r="BS46" s="157">
        <f t="shared" si="67"/>
        <v>71601.53</v>
      </c>
      <c r="BT46" s="151">
        <f t="shared" si="67"/>
        <v>71293</v>
      </c>
      <c r="BU46" s="158" t="s">
        <v>29</v>
      </c>
      <c r="BV46" s="147" t="s">
        <v>29</v>
      </c>
      <c r="BW46" s="147">
        <f t="shared" ref="BW46:BX46" si="68">SUM(BW5:BW45)</f>
        <v>14343</v>
      </c>
      <c r="BX46" s="152">
        <f t="shared" si="68"/>
        <v>64400.070000000014</v>
      </c>
      <c r="BY46" s="152" t="s">
        <v>29</v>
      </c>
      <c r="BZ46" s="147"/>
      <c r="CA46" s="147">
        <f t="shared" ref="CA46:CD46" si="69">SUM(CA5:CA45)</f>
        <v>6201</v>
      </c>
      <c r="CB46" s="156">
        <f t="shared" si="69"/>
        <v>15068.429999999998</v>
      </c>
      <c r="CC46" s="157">
        <f t="shared" si="69"/>
        <v>79468.499999999985</v>
      </c>
      <c r="CD46" s="151">
        <f t="shared" si="69"/>
        <v>79466</v>
      </c>
      <c r="CE46" s="158" t="s">
        <v>29</v>
      </c>
      <c r="CF46" s="147" t="s">
        <v>29</v>
      </c>
      <c r="CG46" s="147">
        <f t="shared" ref="CG46:CH46" si="70">SUM(CG5:CG45)</f>
        <v>18017</v>
      </c>
      <c r="CH46" s="152">
        <f t="shared" si="70"/>
        <v>80896.329999999987</v>
      </c>
      <c r="CI46" s="159" t="s">
        <v>29</v>
      </c>
      <c r="CJ46" s="160"/>
      <c r="CK46" s="147">
        <f t="shared" ref="CK46:CN46" si="71">SUM(CK5:CK45)</f>
        <v>8160</v>
      </c>
      <c r="CL46" s="156">
        <f t="shared" si="71"/>
        <v>19828.800000000007</v>
      </c>
      <c r="CM46" s="157">
        <f t="shared" si="71"/>
        <v>100725.13000000003</v>
      </c>
      <c r="CN46" s="161">
        <f t="shared" si="71"/>
        <v>92166</v>
      </c>
      <c r="CO46" s="158" t="s">
        <v>29</v>
      </c>
      <c r="CP46" s="147" t="s">
        <v>29</v>
      </c>
      <c r="CQ46" s="147">
        <f t="shared" ref="CQ46:CR46" si="72">SUM(CQ5:CQ45)</f>
        <v>24809</v>
      </c>
      <c r="CR46" s="152">
        <f t="shared" si="72"/>
        <v>111392.41</v>
      </c>
      <c r="CS46" s="152" t="s">
        <v>29</v>
      </c>
      <c r="CT46" s="147"/>
      <c r="CU46" s="147">
        <f t="shared" ref="CU46:CW46" si="73">SUM(CU5:CU45)</f>
        <v>12113</v>
      </c>
      <c r="CV46" s="156">
        <f t="shared" si="73"/>
        <v>29434.589999999993</v>
      </c>
      <c r="CW46" s="157">
        <f t="shared" si="73"/>
        <v>140827.00000000003</v>
      </c>
      <c r="CX46" s="161"/>
      <c r="CY46" s="146"/>
      <c r="CZ46" s="147"/>
      <c r="DA46" s="147">
        <f t="shared" ref="DA46:DB46" si="74">SUM(DA5:DA45)</f>
        <v>36678</v>
      </c>
      <c r="DB46" s="150">
        <f t="shared" si="74"/>
        <v>164684.22000000003</v>
      </c>
      <c r="DC46" s="146"/>
      <c r="DD46" s="147"/>
      <c r="DE46" s="147">
        <f t="shared" ref="DE46:DH46" si="75">SUM(DE5:DE45)</f>
        <v>17793</v>
      </c>
      <c r="DF46" s="150">
        <f t="shared" si="75"/>
        <v>43236.990000000005</v>
      </c>
      <c r="DG46" s="157">
        <f t="shared" si="75"/>
        <v>207921.21000000005</v>
      </c>
      <c r="DH46" s="162">
        <f t="shared" si="75"/>
        <v>42790</v>
      </c>
      <c r="DI46" s="146"/>
      <c r="DJ46" s="147"/>
      <c r="DK46" s="147"/>
      <c r="DL46" s="150"/>
      <c r="DM46" s="146"/>
      <c r="DN46" s="147"/>
      <c r="DO46" s="147"/>
      <c r="DP46" s="150"/>
      <c r="DQ46" s="162">
        <f t="shared" ref="DO46:DT46" si="76">SUM(DQ5:DQ45)</f>
        <v>0</v>
      </c>
      <c r="DR46" s="162">
        <f t="shared" si="76"/>
        <v>0</v>
      </c>
      <c r="DS46" s="163"/>
      <c r="DT46" s="164"/>
      <c r="DU46" s="26"/>
    </row>
    <row r="47" spans="1:1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spans="1:1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1:1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1:1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1:1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1:1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1:1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1:1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1:1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1:1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1:1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1:1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1:1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1:1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1:1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1:1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1:1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1:1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1:1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1:1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</row>
    <row r="71" spans="1:1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</row>
    <row r="72" spans="1:1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</row>
    <row r="73" spans="1:1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</row>
    <row r="74" spans="1:1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</row>
    <row r="75" spans="1:1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</row>
    <row r="76" spans="1:1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</row>
    <row r="77" spans="1:1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</row>
    <row r="78" spans="1:1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</row>
    <row r="79" spans="1:1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</row>
    <row r="80" spans="1:1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</row>
    <row r="81" spans="1:1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</row>
    <row r="82" spans="1:1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1:1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</row>
    <row r="84" spans="1:1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</row>
    <row r="85" spans="1:1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</row>
    <row r="86" spans="1:1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</row>
    <row r="87" spans="1:1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</row>
    <row r="88" spans="1:1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</row>
    <row r="89" spans="1:1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</row>
    <row r="90" spans="1:1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</row>
    <row r="91" spans="1:1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</row>
    <row r="92" spans="1:1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</row>
    <row r="93" spans="1:1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</row>
    <row r="94" spans="1:1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</row>
    <row r="95" spans="1:1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</row>
    <row r="96" spans="1:1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</row>
    <row r="97" spans="1:1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</row>
    <row r="98" spans="1:1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</row>
    <row r="99" spans="1:1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</row>
    <row r="100" spans="1:1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</row>
    <row r="101" spans="1:1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</row>
    <row r="102" spans="1:1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</row>
    <row r="103" spans="1:1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</row>
    <row r="104" spans="1:1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</row>
    <row r="105" spans="1:1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</row>
    <row r="106" spans="1:1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</row>
    <row r="107" spans="1:1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</row>
    <row r="108" spans="1:1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</row>
    <row r="109" spans="1:1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</row>
    <row r="110" spans="1:1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</row>
    <row r="111" spans="1:1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</row>
    <row r="112" spans="1:1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</row>
    <row r="113" spans="1:1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</row>
    <row r="114" spans="1:1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</row>
    <row r="115" spans="1:1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</row>
    <row r="116" spans="1:1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</row>
    <row r="117" spans="1:1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</row>
    <row r="118" spans="1:1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</row>
    <row r="119" spans="1:12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</row>
    <row r="120" spans="1:12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</row>
    <row r="121" spans="1:12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</row>
    <row r="122" spans="1:12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</row>
    <row r="123" spans="1:12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</row>
    <row r="124" spans="1:12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</row>
    <row r="125" spans="1:12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</row>
    <row r="126" spans="1:12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</row>
    <row r="127" spans="1:12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</row>
    <row r="128" spans="1:12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</row>
    <row r="129" spans="1:12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</row>
    <row r="130" spans="1:12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</row>
    <row r="131" spans="1:12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</row>
    <row r="132" spans="1:12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</row>
    <row r="133" spans="1:12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</row>
    <row r="134" spans="1:12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</row>
    <row r="135" spans="1:12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</row>
    <row r="136" spans="1:12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</row>
    <row r="137" spans="1:12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</row>
    <row r="138" spans="1:12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</row>
    <row r="139" spans="1:12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</row>
    <row r="140" spans="1:12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</row>
    <row r="141" spans="1:12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</row>
    <row r="142" spans="1:12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</row>
    <row r="143" spans="1:12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</row>
    <row r="144" spans="1:12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</row>
    <row r="145" spans="1:12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</row>
    <row r="146" spans="1:12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</row>
    <row r="147" spans="1:12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</row>
    <row r="148" spans="1:12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</row>
    <row r="149" spans="1:12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</row>
    <row r="150" spans="1:12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</row>
    <row r="151" spans="1:12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</row>
    <row r="152" spans="1:12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</row>
    <row r="153" spans="1:12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</row>
    <row r="154" spans="1:12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</row>
    <row r="155" spans="1:12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</row>
    <row r="156" spans="1:12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</row>
    <row r="157" spans="1:12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</row>
    <row r="158" spans="1:12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</row>
    <row r="159" spans="1:12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</row>
    <row r="160" spans="1:12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</row>
    <row r="161" spans="1:12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</row>
    <row r="162" spans="1:12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</row>
    <row r="163" spans="1:12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</row>
    <row r="164" spans="1:12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</row>
    <row r="165" spans="1:12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</row>
    <row r="166" spans="1:12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</row>
    <row r="167" spans="1:12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</row>
    <row r="168" spans="1:12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</row>
    <row r="169" spans="1:12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</row>
    <row r="170" spans="1:12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</row>
    <row r="171" spans="1:12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</row>
    <row r="172" spans="1:12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</row>
    <row r="173" spans="1:12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</row>
    <row r="174" spans="1:12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</row>
    <row r="175" spans="1:12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</row>
    <row r="176" spans="1:12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</row>
    <row r="177" spans="1:12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</row>
    <row r="178" spans="1:12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</row>
    <row r="179" spans="1:12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</row>
    <row r="180" spans="1:12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</row>
    <row r="181" spans="1:12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</row>
    <row r="182" spans="1:12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</row>
    <row r="183" spans="1:12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</row>
    <row r="184" spans="1:12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</row>
    <row r="185" spans="1:12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</row>
    <row r="186" spans="1:12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</row>
    <row r="187" spans="1:12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</row>
    <row r="188" spans="1:12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</row>
    <row r="189" spans="1:12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</row>
    <row r="190" spans="1:12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</row>
    <row r="191" spans="1:12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</row>
    <row r="192" spans="1:12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</row>
    <row r="193" spans="1:12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</row>
    <row r="194" spans="1:12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</row>
    <row r="195" spans="1:12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</row>
    <row r="196" spans="1:12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</row>
    <row r="197" spans="1:12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</row>
    <row r="198" spans="1:12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</row>
    <row r="202" spans="1:12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</row>
    <row r="203" spans="1:12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</row>
    <row r="204" spans="1:12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</row>
    <row r="205" spans="1:12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</row>
    <row r="206" spans="1:12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</row>
    <row r="207" spans="1:12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</row>
    <row r="208" spans="1:12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</row>
    <row r="209" spans="1:12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</row>
    <row r="210" spans="1:12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</row>
    <row r="211" spans="1:12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</row>
    <row r="212" spans="1:12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</row>
    <row r="213" spans="1:12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</row>
    <row r="214" spans="1:12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</row>
    <row r="215" spans="1:12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</row>
    <row r="216" spans="1:12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</row>
    <row r="217" spans="1:12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</row>
    <row r="218" spans="1:12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</row>
    <row r="219" spans="1:12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</row>
    <row r="220" spans="1:12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</row>
    <row r="221" spans="1:12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</row>
    <row r="222" spans="1:12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</row>
    <row r="223" spans="1:12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</row>
    <row r="224" spans="1:12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</row>
    <row r="225" spans="1:12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</row>
    <row r="226" spans="1:12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</row>
    <row r="227" spans="1:12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</row>
    <row r="228" spans="1:12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</row>
    <row r="229" spans="1:12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</row>
    <row r="230" spans="1:12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</row>
    <row r="231" spans="1:12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</row>
    <row r="232" spans="1:12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</row>
    <row r="233" spans="1:12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</row>
    <row r="234" spans="1:12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</row>
    <row r="235" spans="1:12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</row>
    <row r="236" spans="1:12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</row>
    <row r="237" spans="1:12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</row>
    <row r="238" spans="1:12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</row>
    <row r="239" spans="1:12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</row>
    <row r="240" spans="1:12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</row>
    <row r="241" spans="1:12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</row>
    <row r="242" spans="1:12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</row>
    <row r="243" spans="1:12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</row>
    <row r="244" spans="1:12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</row>
    <row r="245" spans="1:12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</row>
    <row r="246" spans="1:12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</row>
    <row r="247" spans="1:12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</row>
    <row r="248" spans="1:12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</row>
    <row r="249" spans="1:12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</row>
    <row r="250" spans="1:12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</row>
    <row r="251" spans="1:12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</row>
    <row r="252" spans="1:12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</row>
    <row r="253" spans="1:12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</row>
    <row r="254" spans="1:12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</row>
    <row r="255" spans="1:12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</row>
    <row r="256" spans="1:12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</row>
    <row r="257" spans="1:12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</row>
    <row r="258" spans="1:12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</row>
    <row r="259" spans="1:12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</row>
    <row r="260" spans="1:12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</row>
    <row r="261" spans="1:12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</row>
    <row r="262" spans="1:12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</row>
    <row r="263" spans="1:12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</row>
    <row r="264" spans="1:12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</row>
    <row r="265" spans="1:12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</row>
    <row r="266" spans="1:12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</row>
    <row r="267" spans="1:12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</row>
    <row r="268" spans="1:12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</row>
    <row r="269" spans="1:12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</row>
    <row r="270" spans="1:12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</row>
    <row r="271" spans="1:12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</row>
    <row r="272" spans="1:12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</row>
    <row r="273" spans="1:12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</row>
    <row r="274" spans="1:12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</row>
    <row r="275" spans="1:12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</row>
    <row r="276" spans="1:12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</row>
    <row r="277" spans="1:12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</row>
    <row r="278" spans="1:12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</row>
    <row r="279" spans="1:12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</row>
    <row r="280" spans="1:12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</row>
    <row r="281" spans="1:12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</row>
    <row r="282" spans="1:12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</row>
    <row r="283" spans="1:12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</row>
    <row r="284" spans="1:12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</row>
    <row r="285" spans="1:12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</row>
    <row r="286" spans="1:12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</row>
    <row r="287" spans="1:12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</row>
    <row r="288" spans="1:12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</row>
    <row r="289" spans="1:12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</row>
    <row r="290" spans="1:12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</row>
    <row r="291" spans="1:12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</row>
    <row r="292" spans="1:12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</row>
    <row r="293" spans="1:12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</row>
    <row r="294" spans="1:12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</row>
    <row r="295" spans="1:12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</row>
    <row r="296" spans="1:12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</row>
    <row r="297" spans="1:12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</row>
    <row r="298" spans="1:12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</row>
    <row r="299" spans="1:12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</row>
    <row r="300" spans="1:12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</row>
    <row r="301" spans="1:12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</row>
    <row r="302" spans="1:12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</row>
    <row r="303" spans="1:12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</row>
    <row r="304" spans="1:12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</row>
    <row r="305" spans="1:12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</row>
    <row r="306" spans="1:12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</row>
    <row r="307" spans="1:12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</row>
    <row r="308" spans="1:12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</row>
    <row r="309" spans="1:12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</row>
    <row r="310" spans="1:12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</row>
    <row r="311" spans="1:12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</row>
    <row r="312" spans="1:12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</row>
    <row r="313" spans="1:12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</row>
    <row r="314" spans="1:12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</row>
    <row r="315" spans="1:12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</row>
    <row r="316" spans="1:12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</row>
    <row r="317" spans="1:12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</row>
    <row r="318" spans="1:12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</row>
    <row r="319" spans="1:12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</row>
    <row r="320" spans="1:12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</row>
    <row r="321" spans="1:12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</row>
    <row r="322" spans="1:12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</row>
    <row r="323" spans="1:12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</row>
    <row r="324" spans="1:12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</row>
    <row r="325" spans="1:12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</row>
    <row r="326" spans="1:12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</row>
    <row r="327" spans="1:12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</row>
    <row r="328" spans="1:12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</row>
    <row r="329" spans="1:12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</row>
    <row r="330" spans="1:12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</row>
    <row r="331" spans="1:12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</row>
    <row r="332" spans="1:12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</row>
    <row r="333" spans="1:12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</row>
    <row r="334" spans="1:12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</row>
    <row r="335" spans="1:12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</row>
    <row r="336" spans="1:12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</row>
    <row r="337" spans="1:12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</row>
    <row r="338" spans="1:12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</row>
    <row r="339" spans="1:12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</row>
    <row r="340" spans="1:12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</row>
    <row r="341" spans="1:12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</row>
    <row r="342" spans="1:12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</row>
    <row r="343" spans="1:12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</row>
    <row r="344" spans="1:12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</row>
    <row r="345" spans="1:12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</row>
    <row r="346" spans="1:12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</row>
    <row r="347" spans="1:12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</row>
    <row r="348" spans="1:12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</row>
    <row r="349" spans="1:12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</row>
    <row r="350" spans="1:12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</row>
    <row r="351" spans="1:12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</row>
    <row r="352" spans="1:12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</row>
    <row r="353" spans="1:12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</row>
    <row r="354" spans="1:12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</row>
    <row r="355" spans="1:12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</row>
    <row r="356" spans="1:12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</row>
    <row r="357" spans="1:12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</row>
    <row r="358" spans="1:12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</row>
    <row r="359" spans="1:12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</row>
    <row r="360" spans="1:12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</row>
    <row r="361" spans="1:12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</row>
    <row r="362" spans="1:12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</row>
    <row r="363" spans="1:12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</row>
    <row r="364" spans="1:12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</row>
    <row r="365" spans="1:12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</row>
    <row r="366" spans="1:12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</row>
    <row r="367" spans="1:12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</row>
    <row r="368" spans="1:12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</row>
    <row r="369" spans="1:12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</row>
    <row r="370" spans="1:12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</row>
    <row r="371" spans="1:12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</row>
    <row r="372" spans="1:12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</row>
    <row r="373" spans="1:12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</row>
    <row r="374" spans="1:12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</row>
    <row r="375" spans="1:12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</row>
    <row r="376" spans="1:12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</row>
    <row r="377" spans="1:12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</row>
    <row r="378" spans="1:12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</row>
    <row r="379" spans="1:12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</row>
    <row r="380" spans="1:12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</row>
    <row r="381" spans="1:12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</row>
    <row r="382" spans="1:12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</row>
    <row r="383" spans="1:12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</row>
    <row r="384" spans="1:12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</row>
    <row r="385" spans="1:12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</row>
    <row r="386" spans="1:12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</row>
    <row r="387" spans="1:12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</row>
    <row r="388" spans="1:12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</row>
    <row r="389" spans="1:12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</row>
    <row r="390" spans="1:12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</row>
    <row r="391" spans="1:12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</row>
    <row r="392" spans="1:12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</row>
    <row r="393" spans="1:12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</row>
    <row r="394" spans="1:12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</row>
    <row r="395" spans="1:12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</row>
    <row r="396" spans="1:12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</row>
    <row r="397" spans="1:12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</row>
    <row r="398" spans="1:12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</row>
    <row r="399" spans="1:12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</row>
    <row r="400" spans="1:12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</row>
    <row r="401" spans="1:12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</row>
    <row r="402" spans="1:12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</row>
    <row r="403" spans="1:12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</row>
    <row r="404" spans="1:12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</row>
    <row r="405" spans="1:12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</row>
    <row r="406" spans="1:12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</row>
    <row r="407" spans="1:12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</row>
    <row r="408" spans="1:12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</row>
    <row r="409" spans="1:12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</row>
    <row r="410" spans="1:12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</row>
    <row r="411" spans="1:12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</row>
    <row r="412" spans="1:12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</row>
    <row r="413" spans="1:12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</row>
    <row r="414" spans="1:12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</row>
    <row r="415" spans="1:12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</row>
    <row r="416" spans="1:12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</row>
    <row r="417" spans="1:12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</row>
    <row r="418" spans="1:12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</row>
    <row r="419" spans="1:12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</row>
    <row r="420" spans="1:12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</row>
    <row r="421" spans="1:12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</row>
    <row r="422" spans="1:12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</row>
    <row r="423" spans="1:12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</row>
    <row r="424" spans="1:12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</row>
    <row r="425" spans="1:12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</row>
    <row r="426" spans="1:12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</row>
    <row r="427" spans="1:12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</row>
    <row r="428" spans="1:12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</row>
    <row r="429" spans="1:12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</row>
    <row r="430" spans="1:12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</row>
    <row r="431" spans="1:12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</row>
    <row r="432" spans="1:12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</row>
    <row r="433" spans="1:12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</row>
    <row r="434" spans="1:12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</row>
    <row r="435" spans="1:12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</row>
    <row r="436" spans="1:12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</row>
    <row r="437" spans="1:12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</row>
    <row r="438" spans="1:12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</row>
    <row r="439" spans="1:12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</row>
    <row r="440" spans="1:12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</row>
    <row r="441" spans="1:12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</row>
    <row r="442" spans="1:12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</row>
    <row r="443" spans="1:12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</row>
    <row r="444" spans="1:12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</row>
    <row r="445" spans="1:12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</row>
    <row r="446" spans="1:12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</row>
    <row r="447" spans="1:12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</row>
    <row r="448" spans="1:12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</row>
    <row r="449" spans="1:12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</row>
    <row r="450" spans="1:12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</row>
    <row r="451" spans="1:12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</row>
    <row r="452" spans="1:12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</row>
    <row r="453" spans="1:12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</row>
    <row r="454" spans="1:12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</row>
    <row r="455" spans="1:12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</row>
    <row r="456" spans="1:12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</row>
    <row r="457" spans="1:12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</row>
    <row r="458" spans="1:12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</row>
    <row r="459" spans="1:12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</row>
    <row r="460" spans="1:12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</row>
    <row r="461" spans="1:12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</row>
    <row r="462" spans="1:12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</row>
    <row r="463" spans="1:12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</row>
    <row r="464" spans="1:12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</row>
    <row r="465" spans="1:12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</row>
    <row r="466" spans="1:12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</row>
    <row r="467" spans="1:12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</row>
    <row r="468" spans="1:12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</row>
    <row r="469" spans="1:12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</row>
    <row r="470" spans="1:12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</row>
    <row r="471" spans="1:12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</row>
    <row r="472" spans="1:12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</row>
    <row r="473" spans="1:12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</row>
    <row r="474" spans="1:12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</row>
    <row r="475" spans="1:12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</row>
    <row r="476" spans="1:12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</row>
    <row r="477" spans="1:12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</row>
    <row r="478" spans="1:12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</row>
    <row r="479" spans="1:12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</row>
    <row r="480" spans="1:12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</row>
    <row r="481" spans="1:12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</row>
    <row r="482" spans="1:12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</row>
    <row r="483" spans="1:12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</row>
    <row r="484" spans="1:12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</row>
    <row r="485" spans="1:12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</row>
    <row r="486" spans="1:12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</row>
    <row r="487" spans="1:12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</row>
    <row r="488" spans="1:12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</row>
    <row r="489" spans="1:12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</row>
    <row r="490" spans="1:12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</row>
    <row r="491" spans="1:12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</row>
    <row r="492" spans="1:12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</row>
    <row r="493" spans="1:12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</row>
    <row r="494" spans="1:12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</row>
    <row r="495" spans="1:12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</row>
    <row r="496" spans="1:12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</row>
    <row r="497" spans="1:12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</row>
    <row r="498" spans="1:12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</row>
    <row r="499" spans="1:12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</row>
    <row r="500" spans="1:12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</row>
    <row r="501" spans="1:12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</row>
    <row r="502" spans="1:12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</row>
    <row r="503" spans="1:12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</row>
    <row r="504" spans="1:12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</row>
    <row r="505" spans="1:12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</row>
    <row r="506" spans="1:12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</row>
    <row r="507" spans="1:12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</row>
    <row r="508" spans="1:12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</row>
    <row r="509" spans="1:12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</row>
    <row r="510" spans="1:12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</row>
    <row r="511" spans="1:12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</row>
    <row r="512" spans="1:12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</row>
    <row r="513" spans="1:12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</row>
    <row r="514" spans="1:12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</row>
    <row r="515" spans="1:12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</row>
    <row r="516" spans="1:12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</row>
    <row r="517" spans="1:12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</row>
    <row r="518" spans="1:12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</row>
    <row r="519" spans="1:12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</row>
    <row r="520" spans="1:12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</row>
    <row r="521" spans="1:12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</row>
    <row r="522" spans="1:12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</row>
    <row r="523" spans="1:12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</row>
    <row r="524" spans="1:12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</row>
    <row r="525" spans="1:12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</row>
    <row r="526" spans="1:12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</row>
    <row r="527" spans="1:12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</row>
    <row r="528" spans="1:12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</row>
    <row r="529" spans="1:12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</row>
    <row r="530" spans="1:12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</row>
    <row r="531" spans="1:12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</row>
    <row r="532" spans="1:12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</row>
    <row r="533" spans="1:12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</row>
    <row r="534" spans="1:12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</row>
    <row r="535" spans="1:12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</row>
    <row r="536" spans="1:12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</row>
    <row r="537" spans="1:12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</row>
    <row r="538" spans="1:12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</row>
    <row r="539" spans="1:12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</row>
    <row r="540" spans="1:12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</row>
    <row r="541" spans="1:12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</row>
    <row r="542" spans="1:12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</row>
    <row r="543" spans="1:12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</row>
    <row r="544" spans="1:12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</row>
    <row r="545" spans="1:12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</row>
    <row r="546" spans="1:12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</row>
    <row r="547" spans="1:12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</row>
    <row r="548" spans="1:12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</row>
    <row r="549" spans="1:12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</row>
    <row r="550" spans="1:12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</row>
    <row r="551" spans="1:12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</row>
    <row r="552" spans="1:12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</row>
    <row r="553" spans="1:12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</row>
    <row r="554" spans="1:12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</row>
    <row r="555" spans="1:12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</row>
    <row r="556" spans="1:12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</row>
    <row r="557" spans="1:12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</row>
    <row r="558" spans="1:12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</row>
    <row r="559" spans="1:12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</row>
    <row r="560" spans="1:12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</row>
    <row r="561" spans="1:12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</row>
    <row r="562" spans="1:12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</row>
    <row r="563" spans="1:12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</row>
    <row r="564" spans="1:12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</row>
    <row r="565" spans="1:12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</row>
    <row r="566" spans="1:12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</row>
    <row r="567" spans="1:12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</row>
    <row r="568" spans="1:12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</row>
    <row r="569" spans="1:12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</row>
    <row r="570" spans="1:12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</row>
    <row r="571" spans="1:12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</row>
    <row r="572" spans="1:12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</row>
    <row r="573" spans="1:12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</row>
    <row r="574" spans="1:12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</row>
    <row r="575" spans="1:12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</row>
    <row r="576" spans="1:12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</row>
    <row r="577" spans="1:12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</row>
    <row r="578" spans="1:12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</row>
    <row r="579" spans="1:12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</row>
    <row r="580" spans="1:12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</row>
    <row r="581" spans="1:12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</row>
    <row r="582" spans="1:12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</row>
    <row r="583" spans="1:12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</row>
    <row r="584" spans="1:12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</row>
    <row r="585" spans="1:12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</row>
    <row r="586" spans="1:12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</row>
    <row r="587" spans="1:12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</row>
    <row r="588" spans="1:12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</row>
    <row r="589" spans="1:12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</row>
    <row r="590" spans="1:12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</row>
    <row r="591" spans="1:12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</row>
    <row r="592" spans="1:12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</row>
    <row r="593" spans="1:12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</row>
    <row r="594" spans="1:12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</row>
    <row r="595" spans="1:12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</row>
    <row r="596" spans="1:12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</row>
    <row r="597" spans="1:12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</row>
    <row r="598" spans="1:12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</row>
    <row r="599" spans="1:12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</row>
    <row r="600" spans="1:12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</row>
    <row r="601" spans="1:12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</row>
    <row r="602" spans="1:12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</row>
    <row r="603" spans="1:12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</row>
    <row r="604" spans="1:12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</row>
    <row r="605" spans="1:12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</row>
    <row r="606" spans="1:12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</row>
    <row r="607" spans="1:12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</row>
    <row r="608" spans="1:12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</row>
    <row r="609" spans="1:12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</row>
    <row r="610" spans="1:12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</row>
    <row r="611" spans="1:12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</row>
    <row r="612" spans="1:12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</row>
    <row r="613" spans="1:12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</row>
    <row r="614" spans="1:12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</row>
    <row r="615" spans="1:12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</row>
    <row r="616" spans="1:12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</row>
    <row r="617" spans="1:12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</row>
    <row r="618" spans="1:12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</row>
    <row r="619" spans="1:12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</row>
    <row r="620" spans="1:12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</row>
    <row r="621" spans="1:12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</row>
    <row r="622" spans="1:12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</row>
    <row r="623" spans="1:12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</row>
    <row r="624" spans="1:12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</row>
    <row r="625" spans="1:12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</row>
    <row r="626" spans="1:12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</row>
    <row r="627" spans="1:12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</row>
    <row r="628" spans="1:12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</row>
    <row r="629" spans="1:12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</row>
    <row r="630" spans="1:12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</row>
    <row r="631" spans="1:12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</row>
    <row r="632" spans="1:12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</row>
    <row r="633" spans="1:12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</row>
    <row r="634" spans="1:12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</row>
    <row r="635" spans="1:12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</row>
    <row r="636" spans="1:12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</row>
    <row r="637" spans="1:12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</row>
    <row r="638" spans="1:12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</row>
    <row r="639" spans="1:12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</row>
    <row r="640" spans="1:12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</row>
    <row r="641" spans="1:12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</row>
    <row r="642" spans="1:12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</row>
    <row r="643" spans="1:12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</row>
    <row r="644" spans="1:12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</row>
    <row r="645" spans="1:12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</row>
    <row r="646" spans="1:12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</row>
    <row r="647" spans="1:12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</row>
    <row r="648" spans="1:12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</row>
    <row r="649" spans="1:12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</row>
    <row r="650" spans="1:12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</row>
    <row r="651" spans="1:12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</row>
    <row r="652" spans="1:12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</row>
    <row r="653" spans="1:12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</row>
    <row r="654" spans="1:12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</row>
    <row r="655" spans="1:12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</row>
    <row r="656" spans="1:12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</row>
    <row r="657" spans="1:12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</row>
    <row r="658" spans="1:12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</row>
    <row r="659" spans="1:12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</row>
    <row r="660" spans="1:12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</row>
    <row r="661" spans="1:12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</row>
    <row r="662" spans="1:12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</row>
    <row r="663" spans="1:12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</row>
    <row r="664" spans="1:12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</row>
    <row r="665" spans="1:12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</row>
    <row r="666" spans="1:12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</row>
    <row r="667" spans="1:12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</row>
    <row r="668" spans="1:12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</row>
    <row r="669" spans="1:12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</row>
    <row r="670" spans="1:12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</row>
    <row r="671" spans="1:12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</row>
    <row r="672" spans="1:12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</row>
    <row r="673" spans="1:12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</row>
    <row r="674" spans="1:12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</row>
    <row r="675" spans="1:12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</row>
    <row r="676" spans="1:12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</row>
    <row r="677" spans="1:12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</row>
    <row r="678" spans="1:12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</row>
    <row r="679" spans="1:12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</row>
    <row r="680" spans="1:12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</row>
    <row r="681" spans="1:12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</row>
    <row r="682" spans="1:12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</row>
    <row r="683" spans="1:12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</row>
    <row r="684" spans="1:12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</row>
    <row r="685" spans="1:12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</row>
    <row r="686" spans="1:12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</row>
    <row r="687" spans="1:12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</row>
    <row r="688" spans="1:12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</row>
    <row r="689" spans="1:12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</row>
    <row r="690" spans="1:12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</row>
    <row r="691" spans="1:12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</row>
    <row r="692" spans="1:12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</row>
    <row r="693" spans="1:12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</row>
    <row r="694" spans="1:12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</row>
    <row r="695" spans="1:12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</row>
    <row r="696" spans="1:12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</row>
    <row r="697" spans="1:12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</row>
    <row r="698" spans="1:12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</row>
    <row r="699" spans="1:12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</row>
    <row r="700" spans="1:12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</row>
    <row r="701" spans="1:12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</row>
    <row r="702" spans="1:12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</row>
    <row r="703" spans="1:12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</row>
    <row r="704" spans="1:12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</row>
    <row r="705" spans="1:12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</row>
    <row r="706" spans="1:12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</row>
    <row r="707" spans="1:12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</row>
    <row r="708" spans="1:12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</row>
    <row r="709" spans="1:12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</row>
    <row r="710" spans="1:12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</row>
    <row r="711" spans="1:12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</row>
    <row r="712" spans="1:12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</row>
    <row r="713" spans="1:12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</row>
    <row r="714" spans="1:12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</row>
    <row r="715" spans="1:12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</row>
    <row r="716" spans="1:12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</row>
    <row r="717" spans="1:12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</row>
    <row r="718" spans="1:12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</row>
    <row r="719" spans="1:12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</row>
    <row r="720" spans="1:12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</row>
    <row r="721" spans="1:12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</row>
    <row r="722" spans="1:12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</row>
    <row r="723" spans="1:12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</row>
    <row r="724" spans="1:12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</row>
    <row r="725" spans="1:12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</row>
    <row r="726" spans="1:12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</row>
    <row r="727" spans="1:12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</row>
    <row r="728" spans="1:12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</row>
    <row r="729" spans="1:12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</row>
    <row r="730" spans="1:12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</row>
    <row r="731" spans="1:12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</row>
    <row r="732" spans="1:12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</row>
    <row r="733" spans="1:12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</row>
    <row r="734" spans="1:12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</row>
    <row r="735" spans="1:12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</row>
    <row r="736" spans="1:12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</row>
    <row r="737" spans="1:12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</row>
    <row r="738" spans="1:12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</row>
    <row r="739" spans="1:12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</row>
    <row r="740" spans="1:12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</row>
    <row r="741" spans="1:12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</row>
    <row r="742" spans="1:12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</row>
    <row r="743" spans="1:12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</row>
    <row r="744" spans="1:12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</row>
    <row r="745" spans="1:12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</row>
    <row r="746" spans="1:12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</row>
    <row r="747" spans="1:12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</row>
    <row r="748" spans="1:12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</row>
    <row r="749" spans="1:12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</row>
    <row r="750" spans="1:12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</row>
    <row r="751" spans="1:12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</row>
    <row r="752" spans="1:12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</row>
    <row r="753" spans="1:12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</row>
    <row r="754" spans="1:12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</row>
    <row r="755" spans="1:12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</row>
    <row r="756" spans="1:12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</row>
    <row r="757" spans="1:12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</row>
    <row r="758" spans="1:12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</row>
    <row r="759" spans="1:12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</row>
    <row r="760" spans="1:12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</row>
    <row r="761" spans="1:12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</row>
    <row r="762" spans="1:12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</row>
    <row r="763" spans="1:12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</row>
    <row r="764" spans="1:12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</row>
    <row r="765" spans="1:12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</row>
    <row r="766" spans="1:12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</row>
    <row r="767" spans="1:12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</row>
    <row r="768" spans="1:12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</row>
    <row r="769" spans="1:12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</row>
    <row r="770" spans="1:12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</row>
    <row r="771" spans="1:12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</row>
    <row r="772" spans="1:12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</row>
    <row r="773" spans="1:12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</row>
    <row r="774" spans="1:12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</row>
    <row r="775" spans="1:12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</row>
    <row r="776" spans="1:12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</row>
    <row r="777" spans="1:12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</row>
    <row r="778" spans="1:12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</row>
    <row r="779" spans="1:12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</row>
    <row r="780" spans="1:12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</row>
    <row r="781" spans="1:12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</row>
    <row r="782" spans="1:12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</row>
    <row r="783" spans="1:12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</row>
    <row r="784" spans="1:12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</row>
    <row r="785" spans="1:12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</row>
    <row r="786" spans="1:12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</row>
    <row r="787" spans="1:12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</row>
    <row r="788" spans="1:12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</row>
    <row r="789" spans="1:12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</row>
    <row r="790" spans="1:12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</row>
    <row r="791" spans="1:12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</row>
    <row r="792" spans="1:12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</row>
    <row r="793" spans="1:12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</row>
    <row r="794" spans="1:12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</row>
    <row r="795" spans="1:12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</row>
    <row r="796" spans="1:12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</row>
    <row r="797" spans="1:12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</row>
    <row r="798" spans="1:12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</row>
    <row r="799" spans="1:12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</row>
    <row r="800" spans="1:12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</row>
    <row r="801" spans="1:12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</row>
    <row r="802" spans="1:12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</row>
    <row r="803" spans="1:12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</row>
    <row r="804" spans="1:12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</row>
    <row r="805" spans="1:12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</row>
    <row r="806" spans="1:12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</row>
    <row r="807" spans="1:12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</row>
    <row r="808" spans="1:12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</row>
    <row r="809" spans="1:12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</row>
    <row r="810" spans="1:12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</row>
    <row r="811" spans="1:12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</row>
    <row r="812" spans="1:12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</row>
    <row r="813" spans="1:12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</row>
    <row r="814" spans="1:12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</row>
    <row r="815" spans="1:12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</row>
    <row r="816" spans="1:12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</row>
    <row r="817" spans="1:12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</row>
    <row r="818" spans="1:12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</row>
    <row r="819" spans="1:12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</row>
    <row r="820" spans="1:12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</row>
    <row r="821" spans="1:12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</row>
    <row r="822" spans="1:12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</row>
    <row r="823" spans="1:12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</row>
    <row r="824" spans="1:12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</row>
    <row r="825" spans="1:12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</row>
    <row r="826" spans="1:12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</row>
    <row r="827" spans="1:12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</row>
    <row r="828" spans="1:12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</row>
    <row r="829" spans="1:12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</row>
    <row r="830" spans="1:12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</row>
    <row r="831" spans="1:12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</row>
    <row r="832" spans="1:12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</row>
    <row r="833" spans="1:12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</row>
    <row r="834" spans="1:12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</row>
    <row r="835" spans="1:12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</row>
    <row r="836" spans="1:12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</row>
    <row r="837" spans="1:12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</row>
    <row r="838" spans="1:12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</row>
    <row r="839" spans="1:12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</row>
    <row r="840" spans="1:12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</row>
    <row r="841" spans="1:12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</row>
    <row r="842" spans="1:12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</row>
    <row r="843" spans="1:12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</row>
    <row r="844" spans="1:12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</row>
    <row r="845" spans="1:12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</row>
    <row r="846" spans="1:12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</row>
    <row r="847" spans="1:12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</row>
    <row r="848" spans="1:12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</row>
    <row r="849" spans="1:12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</row>
    <row r="850" spans="1:12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</row>
    <row r="851" spans="1:12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</row>
    <row r="852" spans="1:12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</row>
    <row r="853" spans="1:12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</row>
    <row r="854" spans="1:12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</row>
    <row r="855" spans="1:12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</row>
    <row r="856" spans="1:12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</row>
    <row r="857" spans="1:12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</row>
    <row r="858" spans="1:12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</row>
    <row r="859" spans="1:12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</row>
    <row r="860" spans="1:12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</row>
    <row r="861" spans="1:12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</row>
    <row r="862" spans="1:12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</row>
    <row r="863" spans="1:12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</row>
    <row r="864" spans="1:12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</row>
    <row r="865" spans="1:12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</row>
    <row r="866" spans="1:12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</row>
    <row r="867" spans="1:12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</row>
    <row r="868" spans="1:12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</row>
    <row r="869" spans="1:12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</row>
    <row r="870" spans="1:12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</row>
    <row r="871" spans="1:12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</row>
    <row r="872" spans="1:12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</row>
    <row r="873" spans="1:12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</row>
    <row r="874" spans="1:12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</row>
    <row r="875" spans="1:12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</row>
    <row r="876" spans="1:12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</row>
    <row r="877" spans="1:12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</row>
    <row r="878" spans="1:12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</row>
    <row r="879" spans="1:12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</row>
    <row r="880" spans="1:12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</row>
    <row r="881" spans="1:12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</row>
    <row r="882" spans="1:12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</row>
    <row r="883" spans="1:12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</row>
    <row r="884" spans="1:12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</row>
    <row r="885" spans="1:12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</row>
    <row r="886" spans="1:12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</row>
    <row r="887" spans="1:12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</row>
    <row r="888" spans="1:12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</row>
    <row r="889" spans="1:12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</row>
    <row r="890" spans="1:12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</row>
    <row r="891" spans="1:12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</row>
    <row r="892" spans="1:12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</row>
    <row r="893" spans="1:12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</row>
    <row r="894" spans="1:12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</row>
    <row r="895" spans="1:12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</row>
    <row r="896" spans="1:12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</row>
    <row r="897" spans="1:12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</row>
    <row r="898" spans="1:12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</row>
    <row r="899" spans="1:12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</row>
    <row r="900" spans="1:12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</row>
    <row r="901" spans="1:12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</row>
    <row r="902" spans="1:12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</row>
    <row r="903" spans="1:12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</row>
    <row r="904" spans="1:12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</row>
    <row r="905" spans="1:12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</row>
    <row r="906" spans="1:12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</row>
    <row r="907" spans="1:12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</row>
    <row r="908" spans="1:12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</row>
    <row r="909" spans="1:12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</row>
    <row r="910" spans="1:12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</row>
    <row r="911" spans="1:12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</row>
    <row r="912" spans="1:12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</row>
    <row r="913" spans="1:12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</row>
    <row r="914" spans="1:12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</row>
    <row r="915" spans="1:12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</row>
    <row r="916" spans="1:12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</row>
    <row r="917" spans="1:12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</row>
    <row r="918" spans="1:12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</row>
    <row r="919" spans="1:12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</row>
    <row r="920" spans="1:12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</row>
    <row r="921" spans="1:12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</row>
    <row r="922" spans="1:12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</row>
    <row r="923" spans="1:12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</row>
    <row r="924" spans="1:12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</row>
    <row r="925" spans="1:12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</row>
    <row r="926" spans="1:12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</row>
    <row r="927" spans="1:12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</row>
    <row r="928" spans="1:12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</row>
    <row r="929" spans="1:12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</row>
    <row r="930" spans="1:12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</row>
    <row r="931" spans="1:12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</row>
    <row r="932" spans="1:12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</row>
    <row r="933" spans="1:12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</row>
    <row r="934" spans="1:12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</row>
    <row r="935" spans="1:12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</row>
    <row r="936" spans="1:12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</row>
    <row r="937" spans="1:12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</row>
    <row r="938" spans="1:12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</row>
    <row r="939" spans="1:12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</row>
    <row r="940" spans="1:12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</row>
    <row r="941" spans="1:12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</row>
    <row r="942" spans="1:12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</row>
    <row r="943" spans="1:12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</row>
    <row r="944" spans="1:12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</row>
    <row r="945" spans="1:12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</row>
    <row r="946" spans="1:12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</row>
    <row r="947" spans="1:12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</row>
    <row r="948" spans="1:12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</row>
    <row r="949" spans="1:12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</row>
    <row r="950" spans="1:12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</row>
    <row r="951" spans="1:12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</row>
    <row r="952" spans="1:12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</row>
    <row r="953" spans="1:12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</row>
    <row r="954" spans="1:12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</row>
    <row r="955" spans="1:12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</row>
    <row r="956" spans="1:12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</row>
    <row r="957" spans="1:12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</row>
    <row r="958" spans="1:12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</row>
    <row r="959" spans="1:12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</row>
    <row r="960" spans="1:12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</row>
    <row r="961" spans="1:12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</row>
    <row r="962" spans="1:12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</row>
    <row r="963" spans="1:12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</row>
    <row r="964" spans="1:12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</row>
  </sheetData>
  <mergeCells count="38">
    <mergeCell ref="DS2:DT2"/>
    <mergeCell ref="C2:L2"/>
    <mergeCell ref="M2:V2"/>
    <mergeCell ref="W2:AF2"/>
    <mergeCell ref="AG2:AP2"/>
    <mergeCell ref="AQ2:AZ2"/>
    <mergeCell ref="BA2:BJ2"/>
    <mergeCell ref="BK2:BT2"/>
    <mergeCell ref="BU2:CD2"/>
    <mergeCell ref="CE2:CN2"/>
    <mergeCell ref="CO2:CX2"/>
    <mergeCell ref="CY2:DH2"/>
    <mergeCell ref="DI2:DR2"/>
    <mergeCell ref="C3:F3"/>
    <mergeCell ref="G3:J3"/>
    <mergeCell ref="M3:P3"/>
    <mergeCell ref="Q3:T3"/>
    <mergeCell ref="W3:Z3"/>
    <mergeCell ref="AA3:AD3"/>
    <mergeCell ref="AG3:AJ3"/>
    <mergeCell ref="AK3:AN3"/>
    <mergeCell ref="AQ3:AT3"/>
    <mergeCell ref="AU3:AX3"/>
    <mergeCell ref="BA3:BD3"/>
    <mergeCell ref="BE3:BH3"/>
    <mergeCell ref="BK3:BN3"/>
    <mergeCell ref="BO3:BR3"/>
    <mergeCell ref="DC3:DF3"/>
    <mergeCell ref="DI3:DL3"/>
    <mergeCell ref="DM3:DP3"/>
    <mergeCell ref="DS3:DT3"/>
    <mergeCell ref="BU3:BX3"/>
    <mergeCell ref="BY3:CB3"/>
    <mergeCell ref="CE3:CH3"/>
    <mergeCell ref="CI3:CL3"/>
    <mergeCell ref="CO3:CR3"/>
    <mergeCell ref="CS3:CV3"/>
    <mergeCell ref="CY3:D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ФЭО</vt:lpstr>
      <vt:lpstr>РВ</vt:lpstr>
      <vt:lpstr>СМЕТА</vt:lpstr>
      <vt:lpstr>ВЗНОСЫ</vt:lpstr>
      <vt:lpstr>ЭЛЕКТРО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2019-12-03T09:51:36Z</dcterms:created>
  <dcterms:modified xsi:type="dcterms:W3CDTF">2019-12-03T09:59:50Z</dcterms:modified>
</cp:coreProperties>
</file>